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nil Kumar\Downloads\"/>
    </mc:Choice>
  </mc:AlternateContent>
  <bookViews>
    <workbookView xWindow="0" yWindow="0" windowWidth="11325" windowHeight="8295" tabRatio="872" activeTab="2"/>
  </bookViews>
  <sheets>
    <sheet name="Result Analysis XII" sheetId="27" r:id="rId1"/>
    <sheet name="Format A-I" sheetId="21" r:id="rId2"/>
    <sheet name="Result Analysis X" sheetId="16" r:id="rId3"/>
    <sheet name="Format B-I" sheetId="4" r:id="rId4"/>
    <sheet name="Format A-II" sheetId="22" state="hidden" r:id="rId5"/>
    <sheet name="Format A-III" sheetId="23" state="hidden" r:id="rId6"/>
    <sheet name="Format A-IV" sheetId="24" state="hidden" r:id="rId7"/>
    <sheet name="Format A-V" sheetId="25" state="hidden" r:id="rId8"/>
    <sheet name="Format B-II" sheetId="14" state="hidden" r:id="rId9"/>
    <sheet name="Format B-III" sheetId="11" state="hidden" r:id="rId10"/>
    <sheet name="Format B-IV" sheetId="10" state="hidden" r:id="rId11"/>
    <sheet name="Format C-I" sheetId="26" r:id="rId12"/>
    <sheet name="Format C-II" sheetId="6" r:id="rId13"/>
    <sheet name="Format D" sheetId="8" r:id="rId14"/>
    <sheet name="Format E" sheetId="9" r:id="rId15"/>
  </sheets>
  <externalReferences>
    <externalReference r:id="rId16"/>
  </externalReferences>
  <definedNames>
    <definedName name="_xlnm._FilterDatabase" localSheetId="2" hidden="1">'Result Analysis X'!$A$5:$U$112</definedName>
    <definedName name="_xlnm._FilterDatabase" localSheetId="0" hidden="1">'Result Analysis XII'!$A$5:$AA$103</definedName>
    <definedName name="_xlnm.Print_Area" localSheetId="2">'Result Analysis X'!$A$1:$U$112</definedName>
    <definedName name="_xlnm.Print_Area" localSheetId="0">'Result Analysis XII'!$A$1:$AB$103</definedName>
    <definedName name="_xlnm.Print_Titles" localSheetId="8">'Format B-II'!$6:$9</definedName>
    <definedName name="_xlnm.Print_Titles" localSheetId="9">'Format B-III'!$6:$9</definedName>
    <definedName name="_xlnm.Print_Titles" localSheetId="10">'Format B-IV'!$6:$9</definedName>
    <definedName name="_xlnm.Print_Titles" localSheetId="2">'Result Analysis X'!$4:$5</definedName>
    <definedName name="_xlnm.Print_Titles" localSheetId="0">'Result Analysis XII'!$1:$5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8" l="1"/>
  <c r="I17" i="8"/>
  <c r="J10" i="8"/>
  <c r="I10" i="8"/>
  <c r="G17" i="8"/>
  <c r="F17" i="8"/>
  <c r="D17" i="8"/>
  <c r="C17" i="8"/>
  <c r="G10" i="8"/>
  <c r="F10" i="8"/>
  <c r="D10" i="8"/>
  <c r="C10" i="8"/>
  <c r="B17" i="8"/>
  <c r="B10" i="8"/>
  <c r="G18" i="9"/>
  <c r="F18" i="9"/>
  <c r="D18" i="9"/>
  <c r="C18" i="9"/>
  <c r="G11" i="9"/>
  <c r="F11" i="9"/>
  <c r="C11" i="9"/>
  <c r="D11" i="9"/>
  <c r="B11" i="9"/>
  <c r="B18" i="9" s="1"/>
  <c r="B124" i="26"/>
  <c r="B119" i="26"/>
  <c r="B114" i="26"/>
  <c r="B109" i="26"/>
  <c r="B104" i="26"/>
  <c r="B99" i="26"/>
  <c r="B94" i="26"/>
  <c r="B89" i="26"/>
  <c r="B84" i="26"/>
  <c r="B79" i="26"/>
  <c r="B74" i="26"/>
  <c r="B69" i="26"/>
  <c r="B64" i="26"/>
  <c r="B59" i="26"/>
  <c r="B54" i="26"/>
  <c r="B49" i="26"/>
  <c r="B44" i="26"/>
  <c r="B39" i="26"/>
  <c r="B34" i="26"/>
  <c r="B29" i="26"/>
  <c r="B24" i="26"/>
  <c r="B19" i="26"/>
  <c r="B14" i="26"/>
  <c r="B9" i="26"/>
  <c r="W63" i="21"/>
  <c r="V63" i="21" s="1"/>
  <c r="U63" i="21" s="1"/>
  <c r="T63" i="21" s="1"/>
  <c r="S63" i="21"/>
  <c r="R63" i="21"/>
  <c r="Q63" i="21"/>
  <c r="I63" i="21"/>
  <c r="H63" i="21"/>
  <c r="G63" i="21" s="1"/>
  <c r="F63" i="21" s="1"/>
  <c r="E63" i="21"/>
  <c r="D63" i="21"/>
  <c r="C63" i="21"/>
  <c r="AA35" i="27"/>
  <c r="AA36" i="27"/>
  <c r="AA37" i="27"/>
  <c r="AA38" i="27"/>
  <c r="AA39" i="27"/>
  <c r="AA40" i="27"/>
  <c r="AA41" i="27"/>
  <c r="AA42" i="27"/>
  <c r="AA43" i="27"/>
  <c r="AA44" i="27"/>
  <c r="AA45" i="27"/>
  <c r="AA46" i="27"/>
  <c r="AA47" i="27"/>
  <c r="AA48" i="27"/>
  <c r="AA49" i="27"/>
  <c r="AA50" i="27"/>
  <c r="AA51" i="27"/>
  <c r="AA52" i="27"/>
  <c r="AA53" i="27"/>
  <c r="AA54" i="27"/>
  <c r="AA55" i="27"/>
  <c r="AA56" i="27"/>
  <c r="AA57" i="27"/>
  <c r="AA58" i="27"/>
  <c r="AA59" i="27"/>
  <c r="AA60" i="27"/>
  <c r="AA61" i="27"/>
  <c r="AA62" i="27"/>
  <c r="AA63" i="27"/>
  <c r="AA64" i="27"/>
  <c r="AA65" i="27"/>
  <c r="AA66" i="27"/>
  <c r="AA67" i="27"/>
  <c r="AA68" i="27"/>
  <c r="AA69" i="27"/>
  <c r="AA70" i="27"/>
  <c r="AA71" i="27"/>
  <c r="AA72" i="27"/>
  <c r="AA73" i="27"/>
  <c r="AA74" i="27"/>
  <c r="AA75" i="27"/>
  <c r="AA76" i="27"/>
  <c r="AA77" i="27"/>
  <c r="AA78" i="27"/>
  <c r="AA79" i="27"/>
  <c r="AA80" i="27"/>
  <c r="AA81" i="27"/>
  <c r="AA82" i="27"/>
  <c r="AA83" i="27"/>
  <c r="AA84" i="27"/>
  <c r="X11" i="27"/>
  <c r="K92" i="27"/>
  <c r="L92" i="27"/>
  <c r="M92" i="27"/>
  <c r="N92" i="27"/>
  <c r="O92" i="27"/>
  <c r="P92" i="27"/>
  <c r="Q92" i="27"/>
  <c r="R92" i="27"/>
  <c r="S92" i="27"/>
  <c r="T92" i="27"/>
  <c r="U92" i="27"/>
  <c r="V92" i="27"/>
  <c r="W92" i="27"/>
  <c r="K93" i="27"/>
  <c r="L93" i="27"/>
  <c r="M93" i="27"/>
  <c r="N93" i="27"/>
  <c r="O93" i="27"/>
  <c r="P93" i="27"/>
  <c r="Q93" i="27"/>
  <c r="R93" i="27"/>
  <c r="S93" i="27"/>
  <c r="T93" i="27"/>
  <c r="U93" i="27"/>
  <c r="V93" i="27"/>
  <c r="W93" i="27"/>
  <c r="K94" i="27"/>
  <c r="L94" i="27"/>
  <c r="M94" i="27"/>
  <c r="N94" i="27"/>
  <c r="O94" i="27"/>
  <c r="P94" i="27"/>
  <c r="Q94" i="27"/>
  <c r="R94" i="27"/>
  <c r="S94" i="27"/>
  <c r="T94" i="27"/>
  <c r="U94" i="27"/>
  <c r="V94" i="27"/>
  <c r="W94" i="27"/>
  <c r="K95" i="27"/>
  <c r="L95" i="27"/>
  <c r="M95" i="27"/>
  <c r="N95" i="27"/>
  <c r="O95" i="27"/>
  <c r="P95" i="27"/>
  <c r="Q95" i="27"/>
  <c r="R95" i="27"/>
  <c r="S95" i="27"/>
  <c r="T95" i="27"/>
  <c r="U95" i="27"/>
  <c r="V95" i="27"/>
  <c r="W95" i="27"/>
  <c r="K96" i="27"/>
  <c r="L96" i="27"/>
  <c r="M96" i="27"/>
  <c r="N96" i="27"/>
  <c r="O96" i="27"/>
  <c r="P96" i="27"/>
  <c r="Q96" i="27"/>
  <c r="R96" i="27"/>
  <c r="S96" i="27"/>
  <c r="T96" i="27"/>
  <c r="U96" i="27"/>
  <c r="V96" i="27"/>
  <c r="W96" i="27"/>
  <c r="K97" i="27"/>
  <c r="L97" i="27"/>
  <c r="M97" i="27"/>
  <c r="N97" i="27"/>
  <c r="O97" i="27"/>
  <c r="P97" i="27"/>
  <c r="Q97" i="27"/>
  <c r="R97" i="27"/>
  <c r="S97" i="27"/>
  <c r="T97" i="27"/>
  <c r="U97" i="27"/>
  <c r="V97" i="27"/>
  <c r="W97" i="27"/>
  <c r="K98" i="27"/>
  <c r="L98" i="27"/>
  <c r="M98" i="27"/>
  <c r="N98" i="27"/>
  <c r="O98" i="27"/>
  <c r="P98" i="27"/>
  <c r="Q98" i="27"/>
  <c r="R98" i="27"/>
  <c r="S98" i="27"/>
  <c r="T98" i="27"/>
  <c r="U98" i="27"/>
  <c r="V98" i="27"/>
  <c r="W98" i="27"/>
  <c r="K99" i="27"/>
  <c r="L99" i="27"/>
  <c r="M99" i="27"/>
  <c r="N99" i="27"/>
  <c r="O99" i="27"/>
  <c r="P99" i="27"/>
  <c r="Q99" i="27"/>
  <c r="R99" i="27"/>
  <c r="S99" i="27"/>
  <c r="T99" i="27"/>
  <c r="U99" i="27"/>
  <c r="V99" i="27"/>
  <c r="W99" i="27"/>
  <c r="K100" i="27"/>
  <c r="L100" i="27"/>
  <c r="M100" i="27"/>
  <c r="N100" i="27"/>
  <c r="O100" i="27"/>
  <c r="P100" i="27"/>
  <c r="Q100" i="27"/>
  <c r="R100" i="27"/>
  <c r="S100" i="27"/>
  <c r="T100" i="27"/>
  <c r="U100" i="27"/>
  <c r="V100" i="27"/>
  <c r="W100" i="27"/>
  <c r="K101" i="27"/>
  <c r="L101" i="27"/>
  <c r="M101" i="27"/>
  <c r="N101" i="27"/>
  <c r="O101" i="27"/>
  <c r="P101" i="27"/>
  <c r="Q101" i="27"/>
  <c r="R101" i="27"/>
  <c r="S101" i="27"/>
  <c r="T101" i="27"/>
  <c r="U101" i="27"/>
  <c r="V101" i="27"/>
  <c r="W101" i="27"/>
  <c r="J100" i="27"/>
  <c r="J99" i="27"/>
  <c r="J98" i="27"/>
  <c r="J97" i="27"/>
  <c r="J96" i="27"/>
  <c r="J95" i="27"/>
  <c r="J94" i="27"/>
  <c r="J93" i="27"/>
  <c r="J92" i="27"/>
  <c r="C88" i="16"/>
  <c r="C93" i="27"/>
  <c r="C89" i="27"/>
  <c r="C85" i="27"/>
  <c r="W20" i="4"/>
  <c r="V20" i="4"/>
  <c r="U20" i="4" s="1"/>
  <c r="T20" i="4" s="1"/>
  <c r="S20" i="4" s="1"/>
  <c r="R20" i="4" s="1"/>
  <c r="Q20" i="4"/>
  <c r="P20" i="4"/>
  <c r="O20" i="4"/>
  <c r="N20" i="4"/>
  <c r="M20" i="4"/>
  <c r="L20" i="4" s="1"/>
  <c r="K20" i="4" s="1"/>
  <c r="J20" i="4" s="1"/>
  <c r="I20" i="4" s="1"/>
  <c r="H20" i="4"/>
  <c r="G20" i="4"/>
  <c r="F20" i="4"/>
  <c r="AD33" i="4"/>
  <c r="AC33" i="4" s="1"/>
  <c r="AB33" i="4" s="1"/>
  <c r="Y33" i="4"/>
  <c r="X33" i="4"/>
  <c r="W33" i="4"/>
  <c r="AE33" i="4"/>
  <c r="U33" i="4"/>
  <c r="T33" i="4" s="1"/>
  <c r="S33" i="4" s="1"/>
  <c r="R33" i="4" s="1"/>
  <c r="Q33" i="4" s="1"/>
  <c r="V33" i="4"/>
  <c r="P33" i="4"/>
  <c r="O33" i="4"/>
  <c r="N33" i="4"/>
  <c r="L33" i="4"/>
  <c r="K33" i="4" s="1"/>
  <c r="J33" i="4" s="1"/>
  <c r="I33" i="4" s="1"/>
  <c r="H33" i="4" s="1"/>
  <c r="W46" i="4"/>
  <c r="V46" i="4"/>
  <c r="U46" i="4" s="1"/>
  <c r="T46" i="4" s="1"/>
  <c r="S46" i="4" s="1"/>
  <c r="R46" i="4" s="1"/>
  <c r="Q46" i="4"/>
  <c r="P46" i="4"/>
  <c r="O46" i="4"/>
  <c r="F46" i="4"/>
  <c r="E46" i="4"/>
  <c r="C46" i="4"/>
  <c r="E33" i="4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D9" i="6"/>
  <c r="B9" i="6"/>
  <c r="B14" i="6" s="1"/>
  <c r="B20" i="6" s="1"/>
  <c r="B26" i="6" s="1"/>
  <c r="B33" i="6" s="1"/>
  <c r="G8" i="4" l="1"/>
  <c r="AB88" i="27"/>
  <c r="C97" i="27"/>
  <c r="AA33" i="4"/>
  <c r="Z33" i="4" s="1"/>
  <c r="B8" i="4"/>
  <c r="B10" i="25"/>
  <c r="B10" i="24"/>
  <c r="B9" i="22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6" i="27"/>
  <c r="U85" i="27"/>
  <c r="V85" i="27"/>
  <c r="W85" i="27"/>
  <c r="U86" i="27"/>
  <c r="V86" i="27"/>
  <c r="W86" i="27"/>
  <c r="U87" i="27"/>
  <c r="U90" i="27" s="1"/>
  <c r="V87" i="27"/>
  <c r="V103" i="27" s="1"/>
  <c r="W87" i="27"/>
  <c r="W90" i="27" s="1"/>
  <c r="U88" i="27"/>
  <c r="V88" i="27"/>
  <c r="W88" i="27"/>
  <c r="U89" i="27"/>
  <c r="V89" i="27"/>
  <c r="W89" i="27"/>
  <c r="X7" i="27"/>
  <c r="X8" i="27"/>
  <c r="X9" i="27"/>
  <c r="X10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6" i="27"/>
  <c r="B8" i="21"/>
  <c r="B23" i="21" s="1"/>
  <c r="B37" i="21" s="1"/>
  <c r="B50" i="21" s="1"/>
  <c r="B63" i="21" s="1"/>
  <c r="U8" i="16"/>
  <c r="V8" i="16" s="1"/>
  <c r="U9" i="16"/>
  <c r="V9" i="16" s="1"/>
  <c r="U10" i="16"/>
  <c r="V10" i="16" s="1"/>
  <c r="U11" i="16"/>
  <c r="V11" i="16" s="1"/>
  <c r="U12" i="16"/>
  <c r="V12" i="16" s="1"/>
  <c r="U13" i="16"/>
  <c r="V13" i="16" s="1"/>
  <c r="U14" i="16"/>
  <c r="V14" i="16" s="1"/>
  <c r="U15" i="16"/>
  <c r="V15" i="16" s="1"/>
  <c r="U16" i="16"/>
  <c r="V16" i="16" s="1"/>
  <c r="U17" i="16"/>
  <c r="V17" i="16" s="1"/>
  <c r="U18" i="16"/>
  <c r="V18" i="16" s="1"/>
  <c r="U19" i="16"/>
  <c r="V19" i="16" s="1"/>
  <c r="U20" i="16"/>
  <c r="V20" i="16" s="1"/>
  <c r="U21" i="16"/>
  <c r="V21" i="16" s="1"/>
  <c r="U22" i="16"/>
  <c r="V22" i="16" s="1"/>
  <c r="U23" i="16"/>
  <c r="V23" i="16" s="1"/>
  <c r="U24" i="16"/>
  <c r="V24" i="16" s="1"/>
  <c r="U25" i="16"/>
  <c r="V25" i="16" s="1"/>
  <c r="U26" i="16"/>
  <c r="V26" i="16" s="1"/>
  <c r="U27" i="16"/>
  <c r="V27" i="16" s="1"/>
  <c r="U28" i="16"/>
  <c r="V28" i="16" s="1"/>
  <c r="U29" i="16"/>
  <c r="V29" i="16" s="1"/>
  <c r="U30" i="16"/>
  <c r="V30" i="16" s="1"/>
  <c r="U31" i="16"/>
  <c r="V31" i="16" s="1"/>
  <c r="U32" i="16"/>
  <c r="V32" i="16" s="1"/>
  <c r="U33" i="16"/>
  <c r="V33" i="16" s="1"/>
  <c r="U34" i="16"/>
  <c r="V34" i="16" s="1"/>
  <c r="U35" i="16"/>
  <c r="V35" i="16" s="1"/>
  <c r="U36" i="16"/>
  <c r="V36" i="16" s="1"/>
  <c r="U37" i="16"/>
  <c r="V37" i="16" s="1"/>
  <c r="U38" i="16"/>
  <c r="V38" i="16" s="1"/>
  <c r="U39" i="16"/>
  <c r="V39" i="16" s="1"/>
  <c r="U40" i="16"/>
  <c r="V40" i="16" s="1"/>
  <c r="U41" i="16"/>
  <c r="V41" i="16" s="1"/>
  <c r="U42" i="16"/>
  <c r="V42" i="16" s="1"/>
  <c r="U43" i="16"/>
  <c r="V43" i="16" s="1"/>
  <c r="U44" i="16"/>
  <c r="V44" i="16" s="1"/>
  <c r="U45" i="16"/>
  <c r="V45" i="16" s="1"/>
  <c r="U46" i="16"/>
  <c r="V46" i="16" s="1"/>
  <c r="U47" i="16"/>
  <c r="V47" i="16" s="1"/>
  <c r="U48" i="16"/>
  <c r="V48" i="16" s="1"/>
  <c r="U49" i="16"/>
  <c r="V49" i="16" s="1"/>
  <c r="U50" i="16"/>
  <c r="V50" i="16" s="1"/>
  <c r="U51" i="16"/>
  <c r="V51" i="16" s="1"/>
  <c r="U52" i="16"/>
  <c r="V52" i="16" s="1"/>
  <c r="U53" i="16"/>
  <c r="V53" i="16" s="1"/>
  <c r="U54" i="16"/>
  <c r="V54" i="16" s="1"/>
  <c r="U55" i="16"/>
  <c r="V55" i="16" s="1"/>
  <c r="U56" i="16"/>
  <c r="V56" i="16" s="1"/>
  <c r="U57" i="16"/>
  <c r="V57" i="16" s="1"/>
  <c r="U58" i="16"/>
  <c r="V58" i="16" s="1"/>
  <c r="U59" i="16"/>
  <c r="V59" i="16" s="1"/>
  <c r="U60" i="16"/>
  <c r="V60" i="16" s="1"/>
  <c r="U61" i="16"/>
  <c r="V61" i="16" s="1"/>
  <c r="U62" i="16"/>
  <c r="V62" i="16" s="1"/>
  <c r="U63" i="16"/>
  <c r="V63" i="16" s="1"/>
  <c r="U64" i="16"/>
  <c r="V64" i="16" s="1"/>
  <c r="U65" i="16"/>
  <c r="V65" i="16" s="1"/>
  <c r="U66" i="16"/>
  <c r="V66" i="16" s="1"/>
  <c r="U67" i="16"/>
  <c r="V67" i="16" s="1"/>
  <c r="U68" i="16"/>
  <c r="V68" i="16" s="1"/>
  <c r="U69" i="16"/>
  <c r="V69" i="16" s="1"/>
  <c r="U70" i="16"/>
  <c r="V70" i="16" s="1"/>
  <c r="U71" i="16"/>
  <c r="V71" i="16" s="1"/>
  <c r="U72" i="16"/>
  <c r="V72" i="16" s="1"/>
  <c r="U73" i="16"/>
  <c r="V73" i="16" s="1"/>
  <c r="U74" i="16"/>
  <c r="V74" i="16" s="1"/>
  <c r="U75" i="16"/>
  <c r="V75" i="16" s="1"/>
  <c r="U76" i="16"/>
  <c r="V76" i="16" s="1"/>
  <c r="U77" i="16"/>
  <c r="V77" i="16" s="1"/>
  <c r="U78" i="16"/>
  <c r="V78" i="16" s="1"/>
  <c r="U79" i="16"/>
  <c r="V79" i="16" s="1"/>
  <c r="U80" i="16"/>
  <c r="V80" i="16" s="1"/>
  <c r="U81" i="16"/>
  <c r="V81" i="16" s="1"/>
  <c r="U82" i="16"/>
  <c r="V82" i="16" s="1"/>
  <c r="U83" i="16"/>
  <c r="V83" i="16" s="1"/>
  <c r="U84" i="16"/>
  <c r="V84" i="16" s="1"/>
  <c r="U85" i="16"/>
  <c r="V85" i="16" s="1"/>
  <c r="U7" i="16"/>
  <c r="U6" i="16"/>
  <c r="T8" i="16"/>
  <c r="T9" i="16"/>
  <c r="R8" i="16"/>
  <c r="R9" i="16"/>
  <c r="S9" i="16" s="1"/>
  <c r="R10" i="16"/>
  <c r="T10" i="16" s="1"/>
  <c r="R11" i="16"/>
  <c r="T11" i="16" s="1"/>
  <c r="R12" i="16"/>
  <c r="T12" i="16" s="1"/>
  <c r="R13" i="16"/>
  <c r="T13" i="16" s="1"/>
  <c r="R14" i="16"/>
  <c r="S14" i="16" s="1"/>
  <c r="R15" i="16"/>
  <c r="S15" i="16" s="1"/>
  <c r="R16" i="16"/>
  <c r="T16" i="16" s="1"/>
  <c r="R17" i="16"/>
  <c r="S17" i="16" s="1"/>
  <c r="R18" i="16"/>
  <c r="T18" i="16" s="1"/>
  <c r="R19" i="16"/>
  <c r="T19" i="16" s="1"/>
  <c r="R20" i="16"/>
  <c r="T20" i="16" s="1"/>
  <c r="R21" i="16"/>
  <c r="T21" i="16" s="1"/>
  <c r="R22" i="16"/>
  <c r="S22" i="16" s="1"/>
  <c r="R23" i="16"/>
  <c r="S23" i="16" s="1"/>
  <c r="R24" i="16"/>
  <c r="S24" i="16" s="1"/>
  <c r="R25" i="16"/>
  <c r="S25" i="16" s="1"/>
  <c r="R26" i="16"/>
  <c r="T26" i="16" s="1"/>
  <c r="R27" i="16"/>
  <c r="T27" i="16" s="1"/>
  <c r="R28" i="16"/>
  <c r="T28" i="16" s="1"/>
  <c r="R29" i="16"/>
  <c r="T29" i="16" s="1"/>
  <c r="R30" i="16"/>
  <c r="S30" i="16" s="1"/>
  <c r="R31" i="16"/>
  <c r="S31" i="16" s="1"/>
  <c r="R32" i="16"/>
  <c r="T32" i="16" s="1"/>
  <c r="R33" i="16"/>
  <c r="S33" i="16" s="1"/>
  <c r="R34" i="16"/>
  <c r="T34" i="16" s="1"/>
  <c r="R35" i="16"/>
  <c r="T35" i="16" s="1"/>
  <c r="R36" i="16"/>
  <c r="S36" i="16" s="1"/>
  <c r="R37" i="16"/>
  <c r="S37" i="16" s="1"/>
  <c r="R38" i="16"/>
  <c r="S38" i="16" s="1"/>
  <c r="R39" i="16"/>
  <c r="S39" i="16" s="1"/>
  <c r="R40" i="16"/>
  <c r="S40" i="16" s="1"/>
  <c r="R41" i="16"/>
  <c r="S41" i="16" s="1"/>
  <c r="R42" i="16"/>
  <c r="T42" i="16" s="1"/>
  <c r="R43" i="16"/>
  <c r="T43" i="16" s="1"/>
  <c r="R44" i="16"/>
  <c r="T44" i="16" s="1"/>
  <c r="R45" i="16"/>
  <c r="T45" i="16" s="1"/>
  <c r="R46" i="16"/>
  <c r="S46" i="16" s="1"/>
  <c r="R47" i="16"/>
  <c r="S47" i="16" s="1"/>
  <c r="R48" i="16"/>
  <c r="T48" i="16" s="1"/>
  <c r="R49" i="16"/>
  <c r="S49" i="16" s="1"/>
  <c r="R50" i="16"/>
  <c r="T50" i="16" s="1"/>
  <c r="R51" i="16"/>
  <c r="T51" i="16" s="1"/>
  <c r="R52" i="16"/>
  <c r="T52" i="16" s="1"/>
  <c r="R53" i="16"/>
  <c r="T53" i="16" s="1"/>
  <c r="R54" i="16"/>
  <c r="S54" i="16" s="1"/>
  <c r="R55" i="16"/>
  <c r="S55" i="16" s="1"/>
  <c r="R56" i="16"/>
  <c r="S56" i="16" s="1"/>
  <c r="R57" i="16"/>
  <c r="S57" i="16" s="1"/>
  <c r="R58" i="16"/>
  <c r="T58" i="16" s="1"/>
  <c r="R59" i="16"/>
  <c r="T59" i="16" s="1"/>
  <c r="R60" i="16"/>
  <c r="T60" i="16" s="1"/>
  <c r="R61" i="16"/>
  <c r="T61" i="16" s="1"/>
  <c r="R62" i="16"/>
  <c r="S62" i="16" s="1"/>
  <c r="R63" i="16"/>
  <c r="S63" i="16" s="1"/>
  <c r="R64" i="16"/>
  <c r="T64" i="16" s="1"/>
  <c r="R65" i="16"/>
  <c r="S65" i="16" s="1"/>
  <c r="R66" i="16"/>
  <c r="T66" i="16" s="1"/>
  <c r="R67" i="16"/>
  <c r="T67" i="16" s="1"/>
  <c r="R68" i="16"/>
  <c r="S68" i="16" s="1"/>
  <c r="R69" i="16"/>
  <c r="S69" i="16" s="1"/>
  <c r="R70" i="16"/>
  <c r="S70" i="16" s="1"/>
  <c r="R71" i="16"/>
  <c r="S71" i="16" s="1"/>
  <c r="R72" i="16"/>
  <c r="S72" i="16" s="1"/>
  <c r="R73" i="16"/>
  <c r="S73" i="16" s="1"/>
  <c r="R74" i="16"/>
  <c r="T74" i="16" s="1"/>
  <c r="R75" i="16"/>
  <c r="T75" i="16" s="1"/>
  <c r="R76" i="16"/>
  <c r="S76" i="16" s="1"/>
  <c r="R77" i="16"/>
  <c r="S77" i="16" s="1"/>
  <c r="R78" i="16"/>
  <c r="S78" i="16" s="1"/>
  <c r="R79" i="16"/>
  <c r="S79" i="16" s="1"/>
  <c r="R80" i="16"/>
  <c r="T80" i="16" s="1"/>
  <c r="R81" i="16"/>
  <c r="S81" i="16" s="1"/>
  <c r="R82" i="16"/>
  <c r="R83" i="16"/>
  <c r="R84" i="16"/>
  <c r="R85" i="16"/>
  <c r="T85" i="16" s="1"/>
  <c r="R7" i="16"/>
  <c r="S7" i="16" s="1"/>
  <c r="R6" i="16"/>
  <c r="S6" i="16" s="1"/>
  <c r="Q89" i="16"/>
  <c r="Q90" i="16"/>
  <c r="Q91" i="16"/>
  <c r="Q92" i="16"/>
  <c r="Q93" i="16"/>
  <c r="Q96" i="16"/>
  <c r="Q98" i="16" s="1"/>
  <c r="Q97" i="16"/>
  <c r="Q100" i="16"/>
  <c r="Q101" i="16" s="1"/>
  <c r="Q102" i="16" s="1"/>
  <c r="Q103" i="16" s="1"/>
  <c r="Q104" i="16"/>
  <c r="Q105" i="16"/>
  <c r="T38" i="16" l="1"/>
  <c r="U91" i="27"/>
  <c r="X92" i="27"/>
  <c r="X95" i="27"/>
  <c r="G23" i="21" s="1"/>
  <c r="X94" i="27"/>
  <c r="X93" i="27"/>
  <c r="H23" i="21" s="1"/>
  <c r="U103" i="27"/>
  <c r="X89" i="27"/>
  <c r="X88" i="27"/>
  <c r="X87" i="27"/>
  <c r="X103" i="27" s="1"/>
  <c r="X86" i="27"/>
  <c r="X85" i="27"/>
  <c r="V91" i="27"/>
  <c r="X96" i="27"/>
  <c r="X101" i="27"/>
  <c r="X97" i="27"/>
  <c r="F23" i="21" s="1"/>
  <c r="X99" i="27"/>
  <c r="E23" i="21" s="1"/>
  <c r="X98" i="27"/>
  <c r="X100" i="27"/>
  <c r="D23" i="21" s="1"/>
  <c r="W102" i="27"/>
  <c r="U102" i="27"/>
  <c r="G46" i="4"/>
  <c r="F33" i="4"/>
  <c r="V6" i="16"/>
  <c r="M33" i="4"/>
  <c r="H46" i="4"/>
  <c r="G33" i="4"/>
  <c r="N46" i="4"/>
  <c r="M46" i="4"/>
  <c r="L46" i="4" s="1"/>
  <c r="K46" i="4" s="1"/>
  <c r="J46" i="4" s="1"/>
  <c r="I46" i="4" s="1"/>
  <c r="V7" i="16"/>
  <c r="R86" i="16"/>
  <c r="T83" i="16"/>
  <c r="T84" i="16"/>
  <c r="T82" i="16"/>
  <c r="S80" i="16"/>
  <c r="S66" i="16"/>
  <c r="S64" i="16"/>
  <c r="T63" i="16"/>
  <c r="T47" i="16"/>
  <c r="S82" i="16"/>
  <c r="T79" i="16"/>
  <c r="T39" i="16"/>
  <c r="T69" i="16"/>
  <c r="T68" i="16"/>
  <c r="S53" i="16"/>
  <c r="S52" i="16"/>
  <c r="S51" i="16"/>
  <c r="S50" i="16"/>
  <c r="T37" i="16"/>
  <c r="S48" i="16"/>
  <c r="T36" i="16"/>
  <c r="S29" i="16"/>
  <c r="T31" i="16"/>
  <c r="S28" i="16"/>
  <c r="T15" i="16"/>
  <c r="S21" i="16"/>
  <c r="S20" i="16"/>
  <c r="S85" i="16"/>
  <c r="S19" i="16"/>
  <c r="T7" i="16"/>
  <c r="S84" i="16"/>
  <c r="S18" i="16"/>
  <c r="S83" i="16"/>
  <c r="S16" i="16"/>
  <c r="S61" i="16"/>
  <c r="T57" i="16"/>
  <c r="S13" i="16"/>
  <c r="T55" i="16"/>
  <c r="T25" i="16"/>
  <c r="S12" i="16"/>
  <c r="T77" i="16"/>
  <c r="T22" i="16"/>
  <c r="T76" i="16"/>
  <c r="T73" i="16"/>
  <c r="S34" i="16"/>
  <c r="T71" i="16"/>
  <c r="T41" i="16"/>
  <c r="S60" i="16"/>
  <c r="T56" i="16"/>
  <c r="T54" i="16"/>
  <c r="T24" i="16"/>
  <c r="S45" i="16"/>
  <c r="T23" i="16"/>
  <c r="S44" i="16"/>
  <c r="S35" i="16"/>
  <c r="T72" i="16"/>
  <c r="S67" i="16"/>
  <c r="S32" i="16"/>
  <c r="T70" i="16"/>
  <c r="T40" i="16"/>
  <c r="R104" i="16"/>
  <c r="Q99" i="16"/>
  <c r="S43" i="16"/>
  <c r="S11" i="16"/>
  <c r="S58" i="16"/>
  <c r="S59" i="16"/>
  <c r="S42" i="16"/>
  <c r="S8" i="16"/>
  <c r="T81" i="16"/>
  <c r="T65" i="16"/>
  <c r="T49" i="16"/>
  <c r="T33" i="16"/>
  <c r="T17" i="16"/>
  <c r="S75" i="16"/>
  <c r="S27" i="16"/>
  <c r="S74" i="16"/>
  <c r="S26" i="16"/>
  <c r="S10" i="16"/>
  <c r="T78" i="16"/>
  <c r="T62" i="16"/>
  <c r="T46" i="16"/>
  <c r="T30" i="16"/>
  <c r="T14" i="16"/>
  <c r="V90" i="27"/>
  <c r="V102" i="27"/>
  <c r="W91" i="27"/>
  <c r="W103" i="27"/>
  <c r="T6" i="16"/>
  <c r="Q95" i="16"/>
  <c r="Q106" i="16"/>
  <c r="Q94" i="16"/>
  <c r="Q107" i="16"/>
  <c r="R105" i="16"/>
  <c r="F104" i="16"/>
  <c r="F102" i="16"/>
  <c r="F100" i="16"/>
  <c r="F98" i="16"/>
  <c r="F96" i="16"/>
  <c r="X102" i="27" l="1"/>
  <c r="G98" i="16"/>
  <c r="F106" i="16"/>
  <c r="R91" i="16"/>
  <c r="R106" i="16" s="1"/>
  <c r="R89" i="16"/>
  <c r="U87" i="16"/>
  <c r="R93" i="16" s="1"/>
  <c r="L100" i="16"/>
  <c r="L101" i="16" s="1"/>
  <c r="L102" i="16" s="1"/>
  <c r="L103" i="16" s="1"/>
  <c r="M100" i="16"/>
  <c r="M101" i="16" s="1"/>
  <c r="M102" i="16" s="1"/>
  <c r="M103" i="16" s="1"/>
  <c r="N100" i="16"/>
  <c r="N101" i="16" s="1"/>
  <c r="N102" i="16" s="1"/>
  <c r="N103" i="16" s="1"/>
  <c r="O100" i="16"/>
  <c r="O101" i="16" s="1"/>
  <c r="O102" i="16" s="1"/>
  <c r="O103" i="16" s="1"/>
  <c r="L104" i="16"/>
  <c r="M104" i="16"/>
  <c r="N104" i="16"/>
  <c r="O104" i="16"/>
  <c r="P104" i="16"/>
  <c r="P100" i="16"/>
  <c r="P101" i="16" s="1"/>
  <c r="P102" i="16" s="1"/>
  <c r="P103" i="16" s="1"/>
  <c r="M105" i="16"/>
  <c r="N105" i="16"/>
  <c r="O105" i="16"/>
  <c r="P105" i="16"/>
  <c r="L105" i="16"/>
  <c r="M89" i="16"/>
  <c r="N89" i="16"/>
  <c r="O89" i="16"/>
  <c r="P89" i="16"/>
  <c r="M90" i="16"/>
  <c r="N90" i="16"/>
  <c r="O90" i="16"/>
  <c r="P90" i="16"/>
  <c r="M91" i="16"/>
  <c r="M107" i="16" s="1"/>
  <c r="N91" i="16"/>
  <c r="N107" i="16" s="1"/>
  <c r="O91" i="16"/>
  <c r="O107" i="16" s="1"/>
  <c r="P91" i="16"/>
  <c r="P107" i="16" s="1"/>
  <c r="M92" i="16"/>
  <c r="N92" i="16"/>
  <c r="O92" i="16"/>
  <c r="P92" i="16"/>
  <c r="M93" i="16"/>
  <c r="N93" i="16"/>
  <c r="O93" i="16"/>
  <c r="P93" i="16"/>
  <c r="M96" i="16"/>
  <c r="N96" i="16"/>
  <c r="N98" i="16" s="1"/>
  <c r="O96" i="16"/>
  <c r="P96" i="16"/>
  <c r="P98" i="16" s="1"/>
  <c r="M97" i="16"/>
  <c r="N97" i="16"/>
  <c r="O97" i="16"/>
  <c r="P97" i="16"/>
  <c r="L97" i="16"/>
  <c r="L96" i="16"/>
  <c r="L98" i="16" s="1"/>
  <c r="L93" i="16"/>
  <c r="L92" i="16"/>
  <c r="L91" i="16"/>
  <c r="L107" i="16" s="1"/>
  <c r="L90" i="16"/>
  <c r="L89" i="16"/>
  <c r="O95" i="16" l="1"/>
  <c r="O94" i="16"/>
  <c r="P94" i="16"/>
  <c r="N94" i="16"/>
  <c r="M94" i="16"/>
  <c r="N99" i="16"/>
  <c r="M95" i="16"/>
  <c r="C9" i="6" s="1"/>
  <c r="P95" i="16"/>
  <c r="P99" i="16"/>
  <c r="M99" i="16"/>
  <c r="M98" i="16"/>
  <c r="O99" i="16"/>
  <c r="O98" i="16"/>
  <c r="N95" i="16"/>
  <c r="L99" i="16"/>
  <c r="P106" i="16"/>
  <c r="N106" i="16"/>
  <c r="L94" i="16"/>
  <c r="O106" i="16"/>
  <c r="M106" i="16"/>
  <c r="L95" i="16"/>
  <c r="L106" i="16"/>
  <c r="I29" i="26" l="1"/>
  <c r="Y7" i="27"/>
  <c r="Y9" i="27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Y39" i="27"/>
  <c r="Y40" i="27"/>
  <c r="Y41" i="27"/>
  <c r="Y42" i="27"/>
  <c r="Y43" i="27"/>
  <c r="Y44" i="27"/>
  <c r="Y45" i="27"/>
  <c r="Y46" i="27"/>
  <c r="Y47" i="27"/>
  <c r="Y48" i="27"/>
  <c r="Y49" i="27"/>
  <c r="Y50" i="27"/>
  <c r="Y51" i="27"/>
  <c r="Y52" i="27"/>
  <c r="Y53" i="27"/>
  <c r="Y54" i="27"/>
  <c r="Y55" i="27"/>
  <c r="Z55" i="27" s="1"/>
  <c r="Y56" i="27"/>
  <c r="Y57" i="27"/>
  <c r="Y58" i="27"/>
  <c r="Y59" i="27"/>
  <c r="Y60" i="27"/>
  <c r="Y61" i="27"/>
  <c r="Y62" i="27"/>
  <c r="Y63" i="27"/>
  <c r="Z63" i="27" s="1"/>
  <c r="Y64" i="27"/>
  <c r="Z64" i="27" s="1"/>
  <c r="Y65" i="27"/>
  <c r="Z65" i="27" s="1"/>
  <c r="Y66" i="27"/>
  <c r="Z66" i="27" s="1"/>
  <c r="Y67" i="27"/>
  <c r="Z67" i="27" s="1"/>
  <c r="Y68" i="27"/>
  <c r="Z68" i="27" s="1"/>
  <c r="Y69" i="27"/>
  <c r="Z69" i="27" s="1"/>
  <c r="Y70" i="27"/>
  <c r="Z70" i="27" s="1"/>
  <c r="Y71" i="27"/>
  <c r="Z71" i="27" s="1"/>
  <c r="Y72" i="27"/>
  <c r="Z72" i="27" s="1"/>
  <c r="Y73" i="27"/>
  <c r="Z73" i="27" s="1"/>
  <c r="Y74" i="27"/>
  <c r="Z74" i="27" s="1"/>
  <c r="Y75" i="27"/>
  <c r="Z75" i="27" s="1"/>
  <c r="Y76" i="27"/>
  <c r="Z76" i="27" s="1"/>
  <c r="Y77" i="27"/>
  <c r="Z77" i="27" s="1"/>
  <c r="Y78" i="27"/>
  <c r="Z78" i="27" s="1"/>
  <c r="Y79" i="27"/>
  <c r="Z79" i="27" s="1"/>
  <c r="Y80" i="27"/>
  <c r="Z80" i="27" s="1"/>
  <c r="Y81" i="27"/>
  <c r="Z81" i="27" s="1"/>
  <c r="Y82" i="27"/>
  <c r="Z82" i="27" s="1"/>
  <c r="Y83" i="27"/>
  <c r="Z83" i="27" s="1"/>
  <c r="Y84" i="27"/>
  <c r="Z84" i="27" s="1"/>
  <c r="Y6" i="27"/>
  <c r="J63" i="21" l="1"/>
  <c r="Q37" i="21"/>
  <c r="R37" i="21"/>
  <c r="W37" i="21"/>
  <c r="S37" i="21"/>
  <c r="V37" i="21"/>
  <c r="U37" i="21" s="1"/>
  <c r="T37" i="21" s="1"/>
  <c r="P50" i="21"/>
  <c r="K50" i="21"/>
  <c r="O50" i="21"/>
  <c r="J50" i="21"/>
  <c r="N50" i="21"/>
  <c r="M50" i="21" s="1"/>
  <c r="L50" i="21"/>
  <c r="I37" i="21"/>
  <c r="H37" i="21" s="1"/>
  <c r="G37" i="21" s="1"/>
  <c r="F37" i="21" s="1"/>
  <c r="E37" i="21"/>
  <c r="C37" i="21"/>
  <c r="D37" i="21"/>
  <c r="C50" i="21"/>
  <c r="Z49" i="27"/>
  <c r="Z43" i="27"/>
  <c r="Z37" i="27"/>
  <c r="Z48" i="27"/>
  <c r="Z42" i="27"/>
  <c r="Z40" i="27"/>
  <c r="Z54" i="27"/>
  <c r="Z53" i="27"/>
  <c r="Z41" i="27"/>
  <c r="Z52" i="27"/>
  <c r="Z46" i="27"/>
  <c r="Z51" i="27"/>
  <c r="Z45" i="27"/>
  <c r="Z39" i="27"/>
  <c r="Z36" i="27"/>
  <c r="Z47" i="27"/>
  <c r="Z35" i="27"/>
  <c r="Z56" i="27"/>
  <c r="Z50" i="27"/>
  <c r="Z44" i="27"/>
  <c r="Z38" i="27"/>
  <c r="Z33" i="27"/>
  <c r="AA33" i="27" s="1"/>
  <c r="Z31" i="27"/>
  <c r="AA31" i="27" s="1"/>
  <c r="Z32" i="27"/>
  <c r="AA32" i="27" s="1"/>
  <c r="Z25" i="27"/>
  <c r="AA25" i="27" s="1"/>
  <c r="Z30" i="27"/>
  <c r="AA30" i="27" s="1"/>
  <c r="Z27" i="27"/>
  <c r="AA27" i="27" s="1"/>
  <c r="Z26" i="27"/>
  <c r="AA26" i="27" s="1"/>
  <c r="Z24" i="27"/>
  <c r="AA24" i="27" s="1"/>
  <c r="Z21" i="27"/>
  <c r="AA21" i="27" s="1"/>
  <c r="Z20" i="27"/>
  <c r="AA20" i="27" s="1"/>
  <c r="Z19" i="27"/>
  <c r="AA19" i="27" s="1"/>
  <c r="Z18" i="27"/>
  <c r="AA18" i="27" s="1"/>
  <c r="Z15" i="27"/>
  <c r="AA15" i="27" s="1"/>
  <c r="Z14" i="27"/>
  <c r="AA14" i="27" s="1"/>
  <c r="Z13" i="27"/>
  <c r="AA13" i="27" s="1"/>
  <c r="Z12" i="27"/>
  <c r="AA12" i="27" s="1"/>
  <c r="K63" i="21" s="1"/>
  <c r="Z9" i="27"/>
  <c r="Z7" i="27"/>
  <c r="Z6" i="27"/>
  <c r="Z29" i="27"/>
  <c r="AA29" i="27" s="1"/>
  <c r="Z23" i="27"/>
  <c r="AA23" i="27" s="1"/>
  <c r="Z17" i="27"/>
  <c r="AA17" i="27" s="1"/>
  <c r="Z11" i="27"/>
  <c r="Z34" i="27"/>
  <c r="AA34" i="27" s="1"/>
  <c r="Z28" i="27"/>
  <c r="AA28" i="27" s="1"/>
  <c r="Z22" i="27"/>
  <c r="AA22" i="27" s="1"/>
  <c r="Z16" i="27"/>
  <c r="AA16" i="27" s="1"/>
  <c r="Z10" i="27"/>
  <c r="Z62" i="27"/>
  <c r="Z59" i="27"/>
  <c r="Z57" i="27"/>
  <c r="Z61" i="27"/>
  <c r="Z60" i="27"/>
  <c r="Z58" i="27"/>
  <c r="D9" i="22"/>
  <c r="Y8" i="27"/>
  <c r="L63" i="21" l="1"/>
  <c r="P63" i="21"/>
  <c r="O63" i="21" s="1"/>
  <c r="N63" i="21" s="1"/>
  <c r="M63" i="21" s="1"/>
  <c r="Z8" i="27"/>
  <c r="K37" i="21"/>
  <c r="P37" i="21"/>
  <c r="O37" i="21" s="1"/>
  <c r="N37" i="21" s="1"/>
  <c r="M37" i="21" s="1"/>
  <c r="L37" i="21"/>
  <c r="J37" i="21"/>
  <c r="E50" i="21"/>
  <c r="Y92" i="27"/>
  <c r="Y98" i="27"/>
  <c r="Y101" i="27"/>
  <c r="I50" i="21"/>
  <c r="Y94" i="27"/>
  <c r="D50" i="21"/>
  <c r="H50" i="21"/>
  <c r="G50" i="21" s="1"/>
  <c r="F50" i="21" s="1"/>
  <c r="Y93" i="27"/>
  <c r="Y95" i="27"/>
  <c r="Y96" i="27"/>
  <c r="Y97" i="27"/>
  <c r="Y99" i="27"/>
  <c r="Y100" i="27"/>
  <c r="Y88" i="27"/>
  <c r="Y89" i="27"/>
  <c r="Y90" i="27"/>
  <c r="Y85" i="27"/>
  <c r="Y87" i="27"/>
  <c r="D8" i="21" s="1"/>
  <c r="C23" i="21" s="1"/>
  <c r="X90" i="27"/>
  <c r="G9" i="22"/>
  <c r="J10" i="25"/>
  <c r="Q10" i="25"/>
  <c r="C10" i="25"/>
  <c r="J10" i="24"/>
  <c r="C10" i="24"/>
  <c r="Q10" i="23"/>
  <c r="J10" i="23"/>
  <c r="C10" i="23"/>
  <c r="Y103" i="27" l="1"/>
  <c r="Y102" i="27"/>
  <c r="I18" i="9" l="1"/>
  <c r="L17" i="8"/>
  <c r="A7" i="16"/>
  <c r="V10" i="11"/>
  <c r="N10" i="11"/>
  <c r="AE10" i="11"/>
  <c r="W10" i="11"/>
  <c r="E10" i="11"/>
  <c r="P10" i="25"/>
  <c r="O10" i="25" s="1"/>
  <c r="N10" i="25" s="1"/>
  <c r="M10" i="25" s="1"/>
  <c r="L10" i="25"/>
  <c r="K10" i="25"/>
  <c r="W10" i="25"/>
  <c r="V10" i="25" s="1"/>
  <c r="U10" i="25" s="1"/>
  <c r="T10" i="25" s="1"/>
  <c r="S10" i="25"/>
  <c r="R10" i="25"/>
  <c r="H17" i="8" l="1"/>
  <c r="E3" i="27"/>
  <c r="J85" i="27"/>
  <c r="F19" i="26" s="1"/>
  <c r="K85" i="27"/>
  <c r="F9" i="26" s="1"/>
  <c r="L85" i="27"/>
  <c r="F24" i="26" s="1"/>
  <c r="M85" i="27"/>
  <c r="F29" i="26" s="1"/>
  <c r="N85" i="27"/>
  <c r="F34" i="26" s="1"/>
  <c r="O85" i="27"/>
  <c r="F39" i="26" s="1"/>
  <c r="P85" i="27"/>
  <c r="F54" i="26" s="1"/>
  <c r="Q85" i="27"/>
  <c r="F64" i="26" s="1"/>
  <c r="R85" i="27"/>
  <c r="F59" i="26" s="1"/>
  <c r="J86" i="27"/>
  <c r="K86" i="27"/>
  <c r="E9" i="26" s="1"/>
  <c r="L86" i="27"/>
  <c r="M86" i="27"/>
  <c r="N86" i="27"/>
  <c r="O86" i="27"/>
  <c r="P86" i="27"/>
  <c r="Q86" i="27"/>
  <c r="R86" i="27"/>
  <c r="J87" i="27"/>
  <c r="J90" i="27" s="1"/>
  <c r="K87" i="27"/>
  <c r="K90" i="27" s="1"/>
  <c r="L87" i="27"/>
  <c r="L90" i="27" s="1"/>
  <c r="M87" i="27"/>
  <c r="M90" i="27" s="1"/>
  <c r="N87" i="27"/>
  <c r="N90" i="27" s="1"/>
  <c r="O87" i="27"/>
  <c r="O90" i="27" s="1"/>
  <c r="P87" i="27"/>
  <c r="E54" i="26" s="1"/>
  <c r="Q87" i="27"/>
  <c r="Q90" i="27" s="1"/>
  <c r="R87" i="27"/>
  <c r="R103" i="27" s="1"/>
  <c r="J88" i="27"/>
  <c r="K88" i="27"/>
  <c r="L88" i="27"/>
  <c r="P88" i="27"/>
  <c r="Q88" i="27"/>
  <c r="R88" i="27"/>
  <c r="J89" i="27"/>
  <c r="K89" i="27"/>
  <c r="L89" i="27"/>
  <c r="M89" i="27"/>
  <c r="N89" i="27"/>
  <c r="O89" i="27"/>
  <c r="P89" i="27"/>
  <c r="Q89" i="27"/>
  <c r="R89" i="27"/>
  <c r="J101" i="27"/>
  <c r="T85" i="27"/>
  <c r="F79" i="26" s="1"/>
  <c r="T86" i="27"/>
  <c r="T87" i="27"/>
  <c r="E79" i="26" s="1"/>
  <c r="T88" i="27"/>
  <c r="T89" i="27"/>
  <c r="S85" i="27"/>
  <c r="F74" i="26" s="1"/>
  <c r="S86" i="27"/>
  <c r="S87" i="27"/>
  <c r="E74" i="26" s="1"/>
  <c r="S88" i="27"/>
  <c r="S89" i="27"/>
  <c r="E85" i="27"/>
  <c r="Y86" i="27" s="1"/>
  <c r="Y91" i="27" s="1"/>
  <c r="E102" i="27"/>
  <c r="E100" i="27"/>
  <c r="E98" i="27"/>
  <c r="E96" i="27"/>
  <c r="E94" i="27"/>
  <c r="E92" i="27"/>
  <c r="E90" i="27"/>
  <c r="E88" i="27"/>
  <c r="R102" i="27" l="1"/>
  <c r="Q102" i="27"/>
  <c r="F92" i="27"/>
  <c r="R90" i="27"/>
  <c r="T103" i="27"/>
  <c r="T102" i="27"/>
  <c r="T90" i="27"/>
  <c r="T91" i="27"/>
  <c r="C79" i="26" s="1"/>
  <c r="P103" i="27"/>
  <c r="P102" i="27"/>
  <c r="R91" i="27"/>
  <c r="C59" i="26" s="1"/>
  <c r="E59" i="26"/>
  <c r="G59" i="26" s="1"/>
  <c r="P90" i="27"/>
  <c r="Q91" i="27"/>
  <c r="C64" i="26" s="1"/>
  <c r="P91" i="27"/>
  <c r="C54" i="26" s="1"/>
  <c r="E64" i="26"/>
  <c r="G64" i="26" s="1"/>
  <c r="L10" i="23"/>
  <c r="S10" i="23"/>
  <c r="S103" i="27"/>
  <c r="S102" i="27"/>
  <c r="S90" i="27"/>
  <c r="S91" i="27"/>
  <c r="C74" i="26" s="1"/>
  <c r="R10" i="23"/>
  <c r="W10" i="23"/>
  <c r="V10" i="23" s="1"/>
  <c r="U10" i="23" s="1"/>
  <c r="T10" i="23" s="1"/>
  <c r="L10" i="24"/>
  <c r="K10" i="24"/>
  <c r="P10" i="24"/>
  <c r="O10" i="24" s="1"/>
  <c r="N10" i="24" s="1"/>
  <c r="M10" i="24" s="1"/>
  <c r="E10" i="24"/>
  <c r="D10" i="25"/>
  <c r="I10" i="25"/>
  <c r="H10" i="25" s="1"/>
  <c r="G10" i="25" s="1"/>
  <c r="F10" i="25" s="1"/>
  <c r="D10" i="24"/>
  <c r="I10" i="24"/>
  <c r="H10" i="24" s="1"/>
  <c r="G10" i="24" s="1"/>
  <c r="F10" i="24" s="1"/>
  <c r="E10" i="25"/>
  <c r="P10" i="23"/>
  <c r="O10" i="23" s="1"/>
  <c r="N10" i="23" s="1"/>
  <c r="M10" i="23" s="1"/>
  <c r="K10" i="23"/>
  <c r="C9" i="22"/>
  <c r="C8" i="21"/>
  <c r="N103" i="27"/>
  <c r="L103" i="27"/>
  <c r="L102" i="27"/>
  <c r="K17" i="8"/>
  <c r="E24" i="26"/>
  <c r="G24" i="26" s="1"/>
  <c r="E10" i="23"/>
  <c r="I10" i="23"/>
  <c r="H10" i="23" s="1"/>
  <c r="G10" i="23" s="1"/>
  <c r="F10" i="23" s="1"/>
  <c r="O102" i="27"/>
  <c r="O91" i="27"/>
  <c r="E34" i="26"/>
  <c r="G34" i="26" s="1"/>
  <c r="N91" i="27"/>
  <c r="M102" i="27"/>
  <c r="E29" i="26"/>
  <c r="G29" i="26" s="1"/>
  <c r="M91" i="27"/>
  <c r="L91" i="27"/>
  <c r="C24" i="26" s="1"/>
  <c r="K91" i="27"/>
  <c r="C9" i="26" s="1"/>
  <c r="E19" i="26"/>
  <c r="G19" i="26" s="1"/>
  <c r="J91" i="27"/>
  <c r="C19" i="26" s="1"/>
  <c r="E39" i="26"/>
  <c r="G39" i="26" s="1"/>
  <c r="F88" i="27"/>
  <c r="N102" i="27"/>
  <c r="J102" i="27"/>
  <c r="K102" i="27"/>
  <c r="J103" i="27"/>
  <c r="F96" i="27"/>
  <c r="H9" i="22"/>
  <c r="Q103" i="27"/>
  <c r="O103" i="27"/>
  <c r="M103" i="27"/>
  <c r="K103" i="27"/>
  <c r="A74" i="27"/>
  <c r="A75" i="27"/>
  <c r="A76" i="27"/>
  <c r="A77" i="27"/>
  <c r="A78" i="27"/>
  <c r="A79" i="27"/>
  <c r="A80" i="27"/>
  <c r="A81" i="27"/>
  <c r="A82" i="27"/>
  <c r="A83" i="27"/>
  <c r="A84" i="27"/>
  <c r="A7" i="27"/>
  <c r="A8" i="27" s="1"/>
  <c r="A9" i="27" s="1"/>
  <c r="A10" i="27" s="1"/>
  <c r="A11" i="27" s="1"/>
  <c r="A73" i="27" s="1"/>
  <c r="T3" i="27"/>
  <c r="L3" i="27"/>
  <c r="G124" i="26"/>
  <c r="G119" i="26"/>
  <c r="G114" i="26"/>
  <c r="G109" i="26"/>
  <c r="G104" i="26"/>
  <c r="G99" i="26"/>
  <c r="G94" i="26"/>
  <c r="G89" i="26"/>
  <c r="G84" i="26"/>
  <c r="G79" i="26"/>
  <c r="G74" i="26"/>
  <c r="G69" i="26"/>
  <c r="G54" i="26"/>
  <c r="G49" i="26"/>
  <c r="G44" i="26"/>
  <c r="G14" i="26"/>
  <c r="G9" i="26"/>
  <c r="A10" i="25"/>
  <c r="A10" i="24"/>
  <c r="B10" i="23"/>
  <c r="A10" i="23"/>
  <c r="A9" i="22"/>
  <c r="I8" i="21" l="1"/>
  <c r="K8" i="21" s="1"/>
  <c r="H18" i="9"/>
  <c r="E18" i="9"/>
  <c r="P10" i="10"/>
  <c r="G10" i="10"/>
  <c r="J18" i="9" l="1"/>
  <c r="E17" i="8"/>
  <c r="M17" i="8"/>
  <c r="F9" i="22"/>
  <c r="O10" i="11"/>
  <c r="E9" i="22" l="1"/>
  <c r="L10" i="8"/>
  <c r="W10" i="14" l="1"/>
  <c r="E33" i="6" l="1"/>
  <c r="F94" i="16"/>
  <c r="G94" i="16" s="1"/>
  <c r="F92" i="16"/>
  <c r="F90" i="16"/>
  <c r="C96" i="16"/>
  <c r="C106" i="16" s="1"/>
  <c r="C8" i="4" s="1"/>
  <c r="C86" i="16"/>
  <c r="R87" i="16" l="1"/>
  <c r="R90" i="16"/>
  <c r="F10" i="14"/>
  <c r="O10" i="14"/>
  <c r="E20" i="6"/>
  <c r="E26" i="6"/>
  <c r="E9" i="6"/>
  <c r="R94" i="16" l="1"/>
  <c r="H8" i="4"/>
  <c r="E14" i="6"/>
  <c r="F20" i="6" l="1"/>
  <c r="F26" i="6"/>
  <c r="F9" i="6"/>
  <c r="F14" i="6"/>
  <c r="F33" i="6" l="1"/>
  <c r="U10" i="11" l="1"/>
  <c r="T10" i="11" s="1"/>
  <c r="S10" i="11" s="1"/>
  <c r="R10" i="11" s="1"/>
  <c r="Q10" i="11" s="1"/>
  <c r="P10" i="11"/>
  <c r="G90" i="16"/>
  <c r="H10" i="8"/>
  <c r="I11" i="9"/>
  <c r="G33" i="6"/>
  <c r="G26" i="6"/>
  <c r="G20" i="6"/>
  <c r="G14" i="6"/>
  <c r="G9" i="6"/>
  <c r="G106" i="16" l="1"/>
  <c r="R97" i="16"/>
  <c r="R96" i="16"/>
  <c r="R98" i="16" s="1"/>
  <c r="R100" i="16"/>
  <c r="M10" i="11"/>
  <c r="R101" i="16" l="1"/>
  <c r="R102" i="16" s="1"/>
  <c r="R103" i="16" s="1"/>
  <c r="R107" i="16"/>
  <c r="K10" i="8"/>
  <c r="R99" i="16"/>
  <c r="Q10" i="10"/>
  <c r="V10" i="14"/>
  <c r="U10" i="14" s="1"/>
  <c r="T10" i="14" s="1"/>
  <c r="S10" i="14" s="1"/>
  <c r="R10" i="14" s="1"/>
  <c r="X10" i="11"/>
  <c r="Y10" i="11"/>
  <c r="AD10" i="11"/>
  <c r="AC10" i="11" s="1"/>
  <c r="AB10" i="11" s="1"/>
  <c r="AA10" i="11" s="1"/>
  <c r="Z10" i="11" s="1"/>
  <c r="Q10" i="14"/>
  <c r="N10" i="10"/>
  <c r="E11" i="9"/>
  <c r="I10" i="10"/>
  <c r="G10" i="11"/>
  <c r="L10" i="11"/>
  <c r="K10" i="11" s="1"/>
  <c r="J10" i="11" s="1"/>
  <c r="I10" i="11" s="1"/>
  <c r="H10" i="11" s="1"/>
  <c r="O10" i="10"/>
  <c r="H10" i="14"/>
  <c r="X10" i="10"/>
  <c r="W10" i="10"/>
  <c r="R10" i="10"/>
  <c r="M10" i="14"/>
  <c r="N10" i="14"/>
  <c r="P10" i="14" l="1"/>
  <c r="M10" i="10"/>
  <c r="L10" i="10" s="1"/>
  <c r="K10" i="10" s="1"/>
  <c r="J10" i="10" s="1"/>
  <c r="F10" i="11"/>
  <c r="U86" i="16"/>
  <c r="G10" i="14"/>
  <c r="H10" i="10"/>
  <c r="F8" i="4"/>
  <c r="L10" i="14"/>
  <c r="K10" i="14" s="1"/>
  <c r="J10" i="14" s="1"/>
  <c r="I10" i="14" s="1"/>
  <c r="V10" i="10"/>
  <c r="U10" i="10" s="1"/>
  <c r="T10" i="10" s="1"/>
  <c r="S10" i="10" s="1"/>
  <c r="R92" i="16" l="1"/>
  <c r="R95" i="16"/>
  <c r="E10" i="8"/>
  <c r="M10" i="8"/>
  <c r="E8" i="4"/>
  <c r="D8" i="4"/>
  <c r="H11" i="9"/>
  <c r="J11" i="9"/>
</calcChain>
</file>

<file path=xl/comments1.xml><?xml version="1.0" encoding="utf-8"?>
<comments xmlns="http://schemas.openxmlformats.org/spreadsheetml/2006/main">
  <authors>
    <author>Sunil Kumar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Sunil Kumar:</t>
        </r>
        <r>
          <rPr>
            <sz val="9"/>
            <color indexed="81"/>
            <rFont val="Tahoma"/>
            <family val="2"/>
          </rPr>
          <t xml:space="preserve">
Enter Manually</t>
        </r>
      </text>
    </comment>
  </commentList>
</comments>
</file>

<file path=xl/comments2.xml><?xml version="1.0" encoding="utf-8"?>
<comments xmlns="http://schemas.openxmlformats.org/spreadsheetml/2006/main">
  <authors>
    <author>tc={7E21D74C-2AB2-41CF-81E6-840C6B3E1FB9}</author>
  </authors>
  <commentList>
    <comment ref="F2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Region</t>
        </r>
      </text>
    </comment>
  </commentList>
</comments>
</file>

<file path=xl/sharedStrings.xml><?xml version="1.0" encoding="utf-8"?>
<sst xmlns="http://schemas.openxmlformats.org/spreadsheetml/2006/main" count="912" uniqueCount="278">
  <si>
    <t>Name of JNV</t>
  </si>
  <si>
    <t>No. of Students Appeared</t>
  </si>
  <si>
    <t>Sl.
No.</t>
  </si>
  <si>
    <t>Navodaya   Vidyalaya   Samiti,   Jaipur   Region</t>
  </si>
  <si>
    <t>S.No</t>
  </si>
  <si>
    <t>JNV</t>
  </si>
  <si>
    <t>Registered</t>
  </si>
  <si>
    <t>Appeared</t>
  </si>
  <si>
    <t>Passed</t>
  </si>
  <si>
    <t>Abst.</t>
  </si>
  <si>
    <t>Format B (I)</t>
  </si>
  <si>
    <t>EIOP</t>
  </si>
  <si>
    <t>Format B (II)</t>
  </si>
  <si>
    <t>English - 184</t>
  </si>
  <si>
    <t>Sr.No.</t>
  </si>
  <si>
    <t>Over all%</t>
  </si>
  <si>
    <t>Name of the teacher with Designation</t>
  </si>
  <si>
    <t>Total Grade Points obtained</t>
  </si>
  <si>
    <t>Average Grade Points</t>
  </si>
  <si>
    <t>Hindi - 002</t>
  </si>
  <si>
    <t>Maths - 041</t>
  </si>
  <si>
    <t>Science - 086</t>
  </si>
  <si>
    <t>S. St. - 087</t>
  </si>
  <si>
    <t>NAVODAYA    VIDYALAYA    SAMITI,    JAIPUR    REGION</t>
  </si>
  <si>
    <t xml:space="preserve"> (CLASS -X)</t>
  </si>
  <si>
    <t>JNV  Distt</t>
  </si>
  <si>
    <t>SC</t>
  </si>
  <si>
    <t>ST</t>
  </si>
  <si>
    <t>GENERAL</t>
  </si>
  <si>
    <t>Total</t>
  </si>
  <si>
    <t>Appreared</t>
  </si>
  <si>
    <t>Pass%</t>
  </si>
  <si>
    <t>CLASS - X</t>
  </si>
  <si>
    <t>Sr.
No.</t>
  </si>
  <si>
    <t>JNV Distt</t>
  </si>
  <si>
    <t>Boys</t>
  </si>
  <si>
    <t>Girls</t>
  </si>
  <si>
    <t>Pass %</t>
  </si>
  <si>
    <t>`Passed</t>
  </si>
  <si>
    <t>Format D</t>
  </si>
  <si>
    <t>Format E</t>
  </si>
  <si>
    <t>Format C (II)</t>
  </si>
  <si>
    <t>Name of the JNV</t>
  </si>
  <si>
    <t>District</t>
  </si>
  <si>
    <t>State</t>
  </si>
  <si>
    <t>Region</t>
  </si>
  <si>
    <t>Marks Ranage</t>
  </si>
  <si>
    <t>Marks Range</t>
  </si>
  <si>
    <t>No. Appeared</t>
  </si>
  <si>
    <t>No. Passed</t>
  </si>
  <si>
    <t xml:space="preserve">Less Than 4 </t>
  </si>
  <si>
    <t>4 - 4.9</t>
  </si>
  <si>
    <t>5- 5.9</t>
  </si>
  <si>
    <t>6- 6.9</t>
  </si>
  <si>
    <t>7- 8.9</t>
  </si>
  <si>
    <t>9- 9.9</t>
  </si>
  <si>
    <t>9 - 9.9</t>
  </si>
  <si>
    <t xml:space="preserve">Name of the JNV </t>
  </si>
  <si>
    <t>No. of OBC Students</t>
  </si>
  <si>
    <t>No. of Minority Students</t>
  </si>
  <si>
    <t>No. of Disabled Students</t>
  </si>
  <si>
    <t>Marks  Range</t>
  </si>
  <si>
    <t>Details of Rural Students</t>
  </si>
  <si>
    <t>Details of Urban Students</t>
  </si>
  <si>
    <t>Format B (III)</t>
  </si>
  <si>
    <t>Format B (IV)</t>
  </si>
  <si>
    <t>Board
Roll No.</t>
  </si>
  <si>
    <t>Name</t>
  </si>
  <si>
    <t>Father's Name</t>
  </si>
  <si>
    <t>SEX</t>
  </si>
  <si>
    <t>Cat.</t>
  </si>
  <si>
    <t>Area</t>
  </si>
  <si>
    <t>HINDI 
(002)</t>
  </si>
  <si>
    <t>MATHS 
(041)</t>
  </si>
  <si>
    <t>OBC</t>
  </si>
  <si>
    <t>RURAL</t>
  </si>
  <si>
    <t>URBAN</t>
  </si>
  <si>
    <t>BOY</t>
  </si>
  <si>
    <t>GIRL</t>
  </si>
  <si>
    <t>GEN</t>
  </si>
  <si>
    <t xml:space="preserve">Kareera
</t>
  </si>
  <si>
    <t>Mohindergarh</t>
  </si>
  <si>
    <t>Haryana</t>
  </si>
  <si>
    <t>Jaipur</t>
  </si>
  <si>
    <t>Class in which admitted</t>
  </si>
  <si>
    <t xml:space="preserve">Kareera
Mohindergarh
</t>
  </si>
  <si>
    <t>Smt. Parmila Yadav, TGT Maths</t>
  </si>
  <si>
    <t>Ms. Aditi Mahajan, TGT Maths</t>
  </si>
  <si>
    <t>SO.SCI.
(087)</t>
  </si>
  <si>
    <t>Grand Total</t>
  </si>
  <si>
    <t>Admitted</t>
  </si>
  <si>
    <t>6th</t>
  </si>
  <si>
    <t>9th</t>
  </si>
  <si>
    <t>Total Registered</t>
  </si>
  <si>
    <t>SUB.TEACHER</t>
  </si>
  <si>
    <t>OVERALL RESULT</t>
  </si>
  <si>
    <t>Smt. Saroj Yadav</t>
  </si>
  <si>
    <t>Format A (I)</t>
  </si>
  <si>
    <t>Sl.
No</t>
  </si>
  <si>
    <t>Failed</t>
  </si>
  <si>
    <t>Comp.</t>
  </si>
  <si>
    <t>Improvement(+/-)</t>
  </si>
  <si>
    <t>Format A (II)</t>
  </si>
  <si>
    <t>No. of Student Appeared</t>
  </si>
  <si>
    <t>No. of Students</t>
  </si>
  <si>
    <t>Below 33 %</t>
  </si>
  <si>
    <t>34-59%</t>
  </si>
  <si>
    <t>60-74%</t>
  </si>
  <si>
    <t>75-89%</t>
  </si>
  <si>
    <t>90 and Above</t>
  </si>
  <si>
    <t>Format A (III)</t>
  </si>
  <si>
    <t>Below 33%</t>
  </si>
  <si>
    <t>90% &amp; Above</t>
  </si>
  <si>
    <t>90% &amp; above</t>
  </si>
  <si>
    <t>Format A (IV)</t>
  </si>
  <si>
    <t>Format A (V)</t>
  </si>
  <si>
    <t>Format C (I)</t>
  </si>
  <si>
    <t>Hindi - 302 (Core)</t>
  </si>
  <si>
    <t>Over all
Pass%</t>
  </si>
  <si>
    <t>Name of the teacher</t>
  </si>
  <si>
    <t>No. of students Appeared</t>
  </si>
  <si>
    <t>Total Marks obtains</t>
  </si>
  <si>
    <t xml:space="preserve">Average Marks </t>
  </si>
  <si>
    <t>Hindi - 002 (Elective)</t>
  </si>
  <si>
    <t>English - 301</t>
  </si>
  <si>
    <t>Maths-041</t>
  </si>
  <si>
    <t>Physics-042</t>
  </si>
  <si>
    <t>Chemistry-043</t>
  </si>
  <si>
    <t>Biology-044</t>
  </si>
  <si>
    <t>History-027</t>
  </si>
  <si>
    <t>Geography- 029</t>
  </si>
  <si>
    <t>Economics-030</t>
  </si>
  <si>
    <t>Accoutancy- 055</t>
  </si>
  <si>
    <t>Business Std. - 054</t>
  </si>
  <si>
    <t>Bio - Technology - 045</t>
  </si>
  <si>
    <t>Computer Science - 083</t>
  </si>
  <si>
    <t>Information Practice - 065</t>
  </si>
  <si>
    <t>Physical Education - 48</t>
  </si>
  <si>
    <t>Painting - 049</t>
  </si>
  <si>
    <t>Music - 034</t>
  </si>
  <si>
    <t>Introduction to Financial Market II - 793</t>
  </si>
  <si>
    <t>Business Process Outsorcing Skill - 794</t>
  </si>
  <si>
    <t>Food Service-II - 736</t>
  </si>
  <si>
    <t>Beverage Service-II - 737</t>
  </si>
  <si>
    <t>Food Production-III - 734</t>
  </si>
  <si>
    <t>Food Production-IV - 735</t>
  </si>
  <si>
    <t>SMT. SUDESH KUMARI</t>
  </si>
  <si>
    <t>SMT. SUNITA YADAV</t>
  </si>
  <si>
    <t>SH. YOGINDER SINGH</t>
  </si>
  <si>
    <t>DR. SUNIL KUMAR VATS</t>
  </si>
  <si>
    <t>Subjects</t>
  </si>
  <si>
    <t>NAME OF STUDENTS</t>
  </si>
  <si>
    <t>CBSE ROLL NO.</t>
  </si>
  <si>
    <t>CAT. GEN/OBC/ SC/ST</t>
  </si>
  <si>
    <t>BOY/
 GIRL</t>
  </si>
  <si>
    <t xml:space="preserve">RURAL / URBAN </t>
  </si>
  <si>
    <t>Eng.
 301</t>
  </si>
  <si>
    <t>Hindi 
302</t>
  </si>
  <si>
    <t>Maths
 041</t>
  </si>
  <si>
    <t>Phy 
042</t>
  </si>
  <si>
    <t>Chem
043</t>
  </si>
  <si>
    <t>Bio.
044</t>
  </si>
  <si>
    <t>Eco
030</t>
  </si>
  <si>
    <t>B.Stu.
054</t>
  </si>
  <si>
    <t>Acc.
055</t>
  </si>
  <si>
    <t>Comp.
Sci.
083</t>
  </si>
  <si>
    <t>I.P.
065</t>
  </si>
  <si>
    <t xml:space="preserve">Total </t>
  </si>
  <si>
    <t>%</t>
  </si>
  <si>
    <t>Pass</t>
  </si>
  <si>
    <t>Fail</t>
  </si>
  <si>
    <t>Above 95%</t>
  </si>
  <si>
    <t>91-100</t>
  </si>
  <si>
    <t>90-95</t>
  </si>
  <si>
    <t>75-90.99</t>
  </si>
  <si>
    <t>No. of 1st Div.</t>
  </si>
  <si>
    <t>% of Ist div</t>
  </si>
  <si>
    <t>%age of Distnt</t>
  </si>
  <si>
    <t>RANK</t>
  </si>
  <si>
    <t>BIODATA OF STUDENTS</t>
  </si>
  <si>
    <t>STREAM</t>
  </si>
  <si>
    <t>SCIENCE</t>
  </si>
  <si>
    <t>COMMERCE</t>
  </si>
  <si>
    <t>XII</t>
  </si>
  <si>
    <t>HUMANITIES</t>
  </si>
  <si>
    <t>ANALYSIS</t>
  </si>
  <si>
    <t>TOTAL REGD.</t>
  </si>
  <si>
    <t>PH</t>
  </si>
  <si>
    <t>CLASS - XII</t>
  </si>
  <si>
    <t xml:space="preserve"> (CLASS -XII)</t>
  </si>
  <si>
    <t>PASS</t>
  </si>
  <si>
    <t>MS. VARSHA</t>
  </si>
  <si>
    <t>SH. SANJAY KUMAR SAINI</t>
  </si>
  <si>
    <t>SMT. SARLA YADAV</t>
  </si>
  <si>
    <t>SMT VARSHA (CONTRACT)</t>
  </si>
  <si>
    <t>SMT. VANDANA</t>
  </si>
  <si>
    <t>MS. VARSHA YADAV</t>
  </si>
  <si>
    <t>MS. PRIYANKA</t>
  </si>
  <si>
    <t>SMT. VERSHA</t>
  </si>
  <si>
    <t>ENG
(184)</t>
  </si>
  <si>
    <t>SCI.
(086)</t>
  </si>
  <si>
    <t>Jawahar Navodaya Vidyalaya</t>
  </si>
  <si>
    <t xml:space="preserve">School Affiliation No.    </t>
  </si>
  <si>
    <t>CBSE Code</t>
  </si>
  <si>
    <t>Result Analysis of AISSCE 2022 (Class XII)</t>
  </si>
  <si>
    <t>Result Analysis of AISSE (Class X) - 2021-22 - Details of OBC/Minority/Disabled Students</t>
  </si>
  <si>
    <t>Result Analysis of AISSE - CLASS X -  2021-22 - Details of Rural/Urban Students</t>
  </si>
  <si>
    <t>Skill Sub.</t>
  </si>
  <si>
    <t>As per NVS Criteria 
vide Letter No. 12-49(1)/2018-NVS(acad)/375 dated 31.01.2023</t>
  </si>
  <si>
    <t>Criteria for Stream Allottemet (2023-24)</t>
  </si>
  <si>
    <t>Criteria for own Students if seats in stream remain vacant as per criteria in Column 'V' (2023-24)</t>
  </si>
  <si>
    <t>Result Analysis of AISSCE 2022-23 (Class XII)</t>
  </si>
  <si>
    <t>Pass % 2021-22</t>
  </si>
  <si>
    <t>Pass % 2022-23</t>
  </si>
  <si>
    <t>JAWAHAR NAVODAYA VIDYALAYA</t>
  </si>
  <si>
    <t>Kareera, Mohindergarh</t>
  </si>
  <si>
    <t>Warning</t>
  </si>
  <si>
    <t>AISSCE 2023-24 (Result Analysis)</t>
  </si>
  <si>
    <t>Geo.
029</t>
  </si>
  <si>
    <t>Hist.
027</t>
  </si>
  <si>
    <t>Note: Entry in Yellow cell are to be filled manually</t>
  </si>
  <si>
    <t>Navodaya   Vidyalaya   Samiti</t>
  </si>
  <si>
    <t>Details of  of Students joined in Class VI &amp; Passed XII in 2022-23</t>
  </si>
  <si>
    <t>Details of  of Students joined in Class IX through  Lateral Entry and passed Class XII in 2022-23</t>
  </si>
  <si>
    <t>Details of Students joined in Class XI - through Lateral Entry and Passed Class XII in 2022-23</t>
  </si>
  <si>
    <t>Result  Analysis  of  AISSCE   Class  XII  -  2022-23</t>
  </si>
  <si>
    <t>Result Analysis of AISSCE - Class XII - 2022-23 - Details of Rural/Urban Students</t>
  </si>
  <si>
    <t>Result Analysis of AISSCE (Class XII) - 2022-23 - Details of OBC/Minority/Disabled Students</t>
  </si>
  <si>
    <t>Result Analysis of AISSE 2022-23 (Class X)</t>
  </si>
  <si>
    <t>Navodaya    Vidyalaya    Samiti</t>
  </si>
  <si>
    <t>Result  Analysis  of  AISSE  Class X  -  2022-23</t>
  </si>
  <si>
    <t>Details of  of Students joined in Class VI &amp; Passed Class X in 2022-23</t>
  </si>
  <si>
    <t>Details of  of Students joined Class IX through  Lateral Entry and Passed Class X in 2022-23</t>
  </si>
  <si>
    <t xml:space="preserve">NAVODAYA   VIDYALAYA    SAMITI,   </t>
  </si>
  <si>
    <r>
      <rPr>
        <b/>
        <sz val="16"/>
        <color rgb="FF002060"/>
        <rFont val="Times New Roman"/>
        <family val="1"/>
      </rPr>
      <t>For any Query:</t>
    </r>
    <r>
      <rPr>
        <sz val="10"/>
        <color rgb="FF002060"/>
        <rFont val="Times New Roman"/>
        <family val="1"/>
      </rPr>
      <t xml:space="preserve">
</t>
    </r>
    <r>
      <rPr>
        <b/>
        <sz val="20"/>
        <color rgb="FF002060"/>
        <rFont val="Times New Roman"/>
        <family val="1"/>
      </rPr>
      <t>Contact :</t>
    </r>
    <r>
      <rPr>
        <sz val="10"/>
        <color rgb="FF002060"/>
        <rFont val="Times New Roman"/>
        <family val="1"/>
      </rPr>
      <t xml:space="preserve">
sunilvats1981@gmail.com
call : 9067892000, 9416266966</t>
    </r>
  </si>
  <si>
    <t>H</t>
  </si>
  <si>
    <t>TOTAL</t>
  </si>
  <si>
    <t>Marks Obt.</t>
  </si>
  <si>
    <t>%age</t>
  </si>
  <si>
    <t>Adm./SR. No.</t>
  </si>
  <si>
    <t>CLASS AVG.</t>
  </si>
  <si>
    <t>TOTAL OBT. MARKS</t>
  </si>
  <si>
    <t>ER</t>
  </si>
  <si>
    <t>Subject Avg. /Class Avg.</t>
  </si>
  <si>
    <r>
      <t xml:space="preserve">Column </t>
    </r>
    <r>
      <rPr>
        <b/>
        <sz val="11"/>
        <color rgb="FF00B050"/>
        <rFont val="Times New Roman"/>
        <family val="1"/>
      </rPr>
      <t>'R'</t>
    </r>
    <r>
      <rPr>
        <b/>
        <sz val="11"/>
        <color rgb="FFC00000"/>
        <rFont val="Times New Roman"/>
        <family val="1"/>
      </rPr>
      <t xml:space="preserve"> contains Overall Class Result Analysis</t>
    </r>
  </si>
  <si>
    <t>SUBJECT ANALYSIS</t>
  </si>
  <si>
    <t>Result Analysis of AISSE - CLASS X -  2022-23 - Details of Rural/Urban Students</t>
  </si>
  <si>
    <t>Less Than 33</t>
  </si>
  <si>
    <t>&gt;33 - &lt;50</t>
  </si>
  <si>
    <t>&gt;50 - &lt;60</t>
  </si>
  <si>
    <t>&gt;=60- &lt;75</t>
  </si>
  <si>
    <t>&gt;=75 - &lt;90</t>
  </si>
  <si>
    <t>90 and above</t>
  </si>
  <si>
    <t>Above 95</t>
  </si>
  <si>
    <t>Result Analysis of AISSE (Class X) - 2022-23 - Details of OBC/Minority/Disabled Students</t>
  </si>
  <si>
    <t>MINORITY STATUS</t>
  </si>
  <si>
    <t>Pass % 2022</t>
  </si>
  <si>
    <t>Admitted in</t>
  </si>
  <si>
    <t>11th</t>
  </si>
  <si>
    <t xml:space="preserve">Subject Total </t>
  </si>
  <si>
    <r>
      <t>&gt;=75%</t>
    </r>
    <r>
      <rPr>
        <b/>
        <sz val="10"/>
        <color rgb="FFFF0000"/>
        <rFont val="Times New Roman"/>
        <family val="1"/>
      </rPr>
      <t xml:space="preserve"> / </t>
    </r>
    <r>
      <rPr>
        <b/>
        <sz val="10"/>
        <color rgb="FF002060"/>
        <rFont val="Times New Roman"/>
        <family val="1"/>
      </rPr>
      <t>375 &amp; Above</t>
    </r>
  </si>
  <si>
    <t>&gt;=60-&lt;75/ 300-374</t>
  </si>
  <si>
    <t>&gt;=50-&lt;60 / 250-299</t>
  </si>
  <si>
    <t>&gt;=33 - &lt;50 / 165-249</t>
  </si>
  <si>
    <t>&lt;33 /0-164</t>
  </si>
  <si>
    <t>Each students must have the marks of 6 subjects including Skill subject</t>
  </si>
  <si>
    <t>&gt;=90-&lt;95</t>
  </si>
  <si>
    <t>&gt;=75-&lt;90</t>
  </si>
  <si>
    <t>&gt;=90-100</t>
  </si>
  <si>
    <t>If any student is Absent, then left the cell blank.</t>
  </si>
  <si>
    <t>Minority</t>
  </si>
  <si>
    <t>SUBJECT WISE AVERAGE MARKS- 2023 (CLASS XII)</t>
  </si>
  <si>
    <t>NAVODAYA   VIDYALAYA    SAMITI</t>
  </si>
  <si>
    <r>
      <rPr>
        <b/>
        <sz val="12"/>
        <color rgb="FFC00000"/>
        <rFont val="Arial"/>
        <family val="2"/>
      </rPr>
      <t>Note:</t>
    </r>
    <r>
      <rPr>
        <b/>
        <sz val="12"/>
        <rFont val="Arial"/>
        <family val="2"/>
      </rPr>
      <t xml:space="preserve"> You may also change the Name of Subject as per requirement.
</t>
    </r>
    <r>
      <rPr>
        <b/>
        <sz val="12"/>
        <color rgb="FF00B050"/>
        <rFont val="Arial"/>
        <family val="2"/>
      </rPr>
      <t xml:space="preserve">Disclaimer
</t>
    </r>
    <r>
      <rPr>
        <b/>
        <sz val="12"/>
        <rFont val="Arial"/>
        <family val="2"/>
      </rPr>
      <t xml:space="preserve">
The application is only customized to reduce the work. The author has no responsibility, if any error found. You may check the correctness of the application.</t>
    </r>
  </si>
  <si>
    <t>PASS PERCENTAGE : BOYS &amp; GIRLS WISE CBSE RESULT - 2023</t>
  </si>
  <si>
    <t>NAVODAYA   VIDYALAYA   SAMITI</t>
  </si>
  <si>
    <t>SC, ST &amp; GENERAL CATEGORY WISE RESULT - 2023</t>
  </si>
  <si>
    <t>SUBJECT WISE AVERAGE MARKS- 2023 (CLASS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</si>
</sst>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.0"/>
    <numFmt numFmtId="166" formatCode="###0;###0"/>
  </numFmts>
  <fonts count="87" x14ac:knownFonts="1">
    <font>
      <sz val="11"/>
      <color theme="1"/>
      <name val="Calibri"/>
      <family val="2"/>
      <scheme val="minor"/>
    </font>
    <font>
      <b/>
      <sz val="8"/>
      <name val="Bookman Old Style"/>
      <family val="1"/>
    </font>
    <font>
      <b/>
      <sz val="9"/>
      <name val="Book Antiqua"/>
      <family val="1"/>
    </font>
    <font>
      <sz val="10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2"/>
      <name val="Book Antiqua"/>
      <family val="1"/>
    </font>
    <font>
      <sz val="6"/>
      <name val="Book Antiqua"/>
      <family val="1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Book Antiqua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8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Bookman Old Style"/>
      <family val="1"/>
    </font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b/>
      <sz val="8"/>
      <name val="Arial"/>
    </font>
    <font>
      <b/>
      <sz val="8"/>
      <name val="Arial"/>
      <family val="2"/>
    </font>
    <font>
      <b/>
      <sz val="8"/>
      <color theme="8" tint="0.79998168889431442"/>
      <name val="Times New Roman"/>
      <family val="1"/>
    </font>
    <font>
      <b/>
      <sz val="8"/>
      <color theme="8" tint="0.79998168889431442"/>
      <name val="Arial"/>
      <family val="2"/>
    </font>
    <font>
      <b/>
      <sz val="10"/>
      <color theme="8" tint="0.79998168889431442"/>
      <name val="Arial"/>
      <family val="2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b/>
      <sz val="11"/>
      <name val="Times New Roman"/>
      <family val="1"/>
    </font>
    <font>
      <b/>
      <sz val="12"/>
      <color rgb="FFC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</font>
    <font>
      <b/>
      <sz val="16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2060"/>
      <name val="Times New Roman"/>
      <family val="1"/>
    </font>
    <font>
      <b/>
      <sz val="16"/>
      <color theme="1"/>
      <name val="Bookman Old Style"/>
      <family val="1"/>
    </font>
    <font>
      <b/>
      <sz val="18"/>
      <color theme="8" tint="0.79998168889431442"/>
      <name val="Arial"/>
      <family val="2"/>
    </font>
    <font>
      <b/>
      <sz val="16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Bookman Old Style"/>
      <family val="1"/>
    </font>
    <font>
      <b/>
      <sz val="18"/>
      <color theme="1"/>
      <name val="Bookman Old Style"/>
      <family val="1"/>
    </font>
    <font>
      <b/>
      <sz val="10"/>
      <color rgb="FF002060"/>
      <name val="Times New Roman"/>
      <family val="1"/>
    </font>
    <font>
      <sz val="10"/>
      <color rgb="FF002060"/>
      <name val="Times New Roman"/>
      <family val="1"/>
    </font>
    <font>
      <b/>
      <sz val="20"/>
      <color rgb="FF002060"/>
      <name val="Times New Roman"/>
      <family val="1"/>
    </font>
    <font>
      <sz val="14"/>
      <color rgb="FFFF0000"/>
      <name val="Times New Roman"/>
      <family val="1"/>
    </font>
    <font>
      <sz val="14"/>
      <color rgb="FF002060"/>
      <name val="Times New Roman"/>
      <family val="1"/>
    </font>
    <font>
      <b/>
      <sz val="14"/>
      <color rgb="FFFF0000"/>
      <name val="Times New Roman"/>
      <family val="1"/>
    </font>
    <font>
      <b/>
      <sz val="22"/>
      <color rgb="FFC00000"/>
      <name val="Wingdings"/>
      <charset val="2"/>
    </font>
    <font>
      <b/>
      <sz val="12"/>
      <color rgb="FF002060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B050"/>
      <name val="Times New Roman"/>
      <family val="1"/>
    </font>
    <font>
      <b/>
      <sz val="14"/>
      <color rgb="FF00B050"/>
      <name val="Times New Roman"/>
      <family val="1"/>
    </font>
    <font>
      <sz val="9"/>
      <color rgb="FF00B050"/>
      <name val="Times New Roman"/>
      <family val="1"/>
    </font>
    <font>
      <b/>
      <sz val="14"/>
      <color theme="0"/>
      <name val="Bookman Old Style"/>
      <family val="1"/>
    </font>
    <font>
      <b/>
      <sz val="8"/>
      <color rgb="FF002060"/>
      <name val="Times New Roman"/>
      <family val="1"/>
    </font>
    <font>
      <b/>
      <sz val="8"/>
      <color rgb="FF002060"/>
      <name val="Arial"/>
      <family val="2"/>
    </font>
    <font>
      <sz val="10"/>
      <color rgb="FF002060"/>
      <name val="Arial"/>
      <family val="2"/>
    </font>
    <font>
      <b/>
      <sz val="18"/>
      <color rgb="FF002060"/>
      <name val="Times New Roman"/>
      <family val="1"/>
    </font>
    <font>
      <b/>
      <sz val="22"/>
      <color rgb="FF002060"/>
      <name val="Times New Roman"/>
      <family val="1"/>
    </font>
    <font>
      <b/>
      <sz val="2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002060"/>
      <name val="Arial"/>
      <family val="2"/>
    </font>
    <font>
      <b/>
      <sz val="12"/>
      <color rgb="FFC00000"/>
      <name val="Arial"/>
      <family val="2"/>
    </font>
    <font>
      <b/>
      <sz val="12"/>
      <color rgb="FF00B05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1" fillId="0" borderId="0"/>
    <xf numFmtId="0" fontId="86" fillId="0" borderId="0" applyNumberFormat="0" applyFill="0" applyBorder="0" applyAlignment="0" applyProtection="0"/>
  </cellStyleXfs>
  <cellXfs count="4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0" fillId="0" borderId="0" xfId="0" applyFont="1"/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vertical="center" textRotation="90" wrapText="1"/>
    </xf>
    <xf numFmtId="0" fontId="18" fillId="0" borderId="2" xfId="0" applyFont="1" applyBorder="1" applyAlignment="1">
      <alignment vertical="center" textRotation="90"/>
    </xf>
    <xf numFmtId="0" fontId="25" fillId="0" borderId="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5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6" fillId="0" borderId="0" xfId="1" applyFont="1"/>
    <xf numFmtId="0" fontId="26" fillId="0" borderId="12" xfId="1" applyFont="1" applyBorder="1" applyAlignment="1">
      <alignment horizontal="center"/>
    </xf>
    <xf numFmtId="0" fontId="36" fillId="11" borderId="7" xfId="1" applyFont="1" applyFill="1" applyBorder="1" applyAlignment="1">
      <alignment horizontal="center" vertical="center" wrapText="1"/>
    </xf>
    <xf numFmtId="0" fontId="36" fillId="11" borderId="7" xfId="1" applyFont="1" applyFill="1" applyBorder="1" applyAlignment="1">
      <alignment vertical="center" wrapText="1"/>
    </xf>
    <xf numFmtId="0" fontId="37" fillId="11" borderId="7" xfId="1" applyFont="1" applyFill="1" applyBorder="1" applyAlignment="1">
      <alignment horizontal="center" vertical="center"/>
    </xf>
    <xf numFmtId="0" fontId="38" fillId="11" borderId="7" xfId="1" applyFont="1" applyFill="1" applyBorder="1" applyAlignment="1">
      <alignment horizontal="center" vertical="center"/>
    </xf>
    <xf numFmtId="0" fontId="8" fillId="0" borderId="7" xfId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5" fillId="18" borderId="7" xfId="0" applyFont="1" applyFill="1" applyBorder="1" applyAlignment="1" applyProtection="1">
      <alignment horizontal="center" vertical="center" wrapText="1"/>
      <protection locked="0"/>
    </xf>
    <xf numFmtId="0" fontId="32" fillId="0" borderId="7" xfId="1" applyFont="1" applyBorder="1" applyAlignment="1" applyProtection="1">
      <alignment horizontal="center" vertical="center"/>
      <protection locked="0"/>
    </xf>
    <xf numFmtId="1" fontId="13" fillId="0" borderId="7" xfId="1" applyNumberFormat="1" applyFont="1" applyBorder="1" applyAlignment="1">
      <alignment horizontal="center" vertical="center"/>
    </xf>
    <xf numFmtId="2" fontId="13" fillId="0" borderId="7" xfId="1" applyNumberFormat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1" fillId="0" borderId="7" xfId="1" applyBorder="1" applyAlignment="1">
      <alignment horizontal="center" vertical="center"/>
    </xf>
    <xf numFmtId="1" fontId="34" fillId="0" borderId="7" xfId="1" applyNumberFormat="1" applyFont="1" applyBorder="1" applyAlignment="1">
      <alignment horizontal="center" vertical="center"/>
    </xf>
    <xf numFmtId="0" fontId="34" fillId="0" borderId="7" xfId="1" applyFont="1" applyBorder="1" applyAlignment="1">
      <alignment horizontal="center" vertical="center"/>
    </xf>
    <xf numFmtId="2" fontId="34" fillId="0" borderId="7" xfId="1" applyNumberFormat="1" applyFont="1" applyBorder="1" applyAlignment="1">
      <alignment horizontal="center" vertical="center"/>
    </xf>
    <xf numFmtId="0" fontId="32" fillId="0" borderId="13" xfId="1" applyFont="1" applyBorder="1" applyAlignment="1" applyProtection="1">
      <alignment horizontal="center" vertical="center"/>
      <protection locked="0"/>
    </xf>
    <xf numFmtId="1" fontId="13" fillId="0" borderId="13" xfId="1" applyNumberFormat="1" applyFont="1" applyBorder="1" applyAlignment="1">
      <alignment horizontal="center" vertical="center"/>
    </xf>
    <xf numFmtId="2" fontId="13" fillId="0" borderId="13" xfId="1" applyNumberFormat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center" vertical="center" wrapText="1"/>
      <protection locked="0"/>
    </xf>
    <xf numFmtId="0" fontId="32" fillId="0" borderId="13" xfId="1" applyFont="1" applyBorder="1" applyAlignment="1" applyProtection="1">
      <alignment vertical="center"/>
      <protection locked="0"/>
    </xf>
    <xf numFmtId="0" fontId="16" fillId="0" borderId="7" xfId="1" applyFont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  <protection locked="0"/>
    </xf>
    <xf numFmtId="0" fontId="32" fillId="0" borderId="7" xfId="1" applyFont="1" applyBorder="1" applyAlignment="1" applyProtection="1">
      <alignment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2" fontId="18" fillId="0" borderId="3" xfId="0" applyNumberFormat="1" applyFont="1" applyBorder="1" applyAlignment="1">
      <alignment horizontal="center" vertical="center"/>
    </xf>
    <xf numFmtId="0" fontId="25" fillId="2" borderId="24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vertical="center" wrapText="1"/>
      <protection locked="0"/>
    </xf>
    <xf numFmtId="0" fontId="40" fillId="10" borderId="7" xfId="0" applyFont="1" applyFill="1" applyBorder="1" applyAlignment="1" applyProtection="1">
      <alignment horizontal="center" vertical="center"/>
      <protection locked="0"/>
    </xf>
    <xf numFmtId="0" fontId="40" fillId="10" borderId="7" xfId="0" applyFont="1" applyFill="1" applyBorder="1" applyAlignment="1" applyProtection="1">
      <alignment vertical="center"/>
      <protection locked="0"/>
    </xf>
    <xf numFmtId="0" fontId="40" fillId="10" borderId="7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165" fontId="15" fillId="0" borderId="7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41" fillId="12" borderId="7" xfId="0" applyFont="1" applyFill="1" applyBorder="1" applyAlignment="1">
      <alignment vertical="center"/>
    </xf>
    <xf numFmtId="0" fontId="41" fillId="12" borderId="7" xfId="0" applyFont="1" applyFill="1" applyBorder="1" applyAlignment="1">
      <alignment horizontal="left" vertical="center"/>
    </xf>
    <xf numFmtId="2" fontId="41" fillId="12" borderId="7" xfId="0" applyNumberFormat="1" applyFont="1" applyFill="1" applyBorder="1" applyAlignment="1">
      <alignment horizontal="center" vertical="center"/>
    </xf>
    <xf numFmtId="0" fontId="14" fillId="16" borderId="0" xfId="0" applyFont="1" applyFill="1" applyAlignment="1">
      <alignment vertical="center" wrapText="1"/>
    </xf>
    <xf numFmtId="0" fontId="15" fillId="16" borderId="0" xfId="0" applyFont="1" applyFill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left" vertical="center"/>
    </xf>
    <xf numFmtId="0" fontId="15" fillId="16" borderId="0" xfId="0" applyFont="1" applyFill="1" applyAlignment="1">
      <alignment vertical="center"/>
    </xf>
    <xf numFmtId="0" fontId="29" fillId="16" borderId="0" xfId="0" applyFont="1" applyFill="1" applyAlignment="1">
      <alignment vertical="center"/>
    </xf>
    <xf numFmtId="0" fontId="48" fillId="0" borderId="0" xfId="0" applyFont="1" applyAlignment="1" applyProtection="1">
      <alignment vertical="center"/>
      <protection locked="0"/>
    </xf>
    <xf numFmtId="0" fontId="48" fillId="0" borderId="7" xfId="0" applyFont="1" applyBorder="1" applyAlignment="1" applyProtection="1">
      <alignment horizontal="center" vertical="center"/>
      <protection locked="0"/>
    </xf>
    <xf numFmtId="0" fontId="48" fillId="0" borderId="7" xfId="0" applyFont="1" applyBorder="1" applyAlignment="1" applyProtection="1">
      <alignment vertical="center"/>
      <protection locked="0"/>
    </xf>
    <xf numFmtId="0" fontId="48" fillId="0" borderId="23" xfId="0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2" fontId="48" fillId="0" borderId="0" xfId="0" applyNumberFormat="1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43" fillId="12" borderId="7" xfId="0" applyFont="1" applyFill="1" applyBorder="1" applyAlignment="1">
      <alignment horizontal="center" vertical="center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48" fillId="16" borderId="0" xfId="0" applyFont="1" applyFill="1" applyAlignment="1">
      <alignment horizontal="left" vertical="center"/>
    </xf>
    <xf numFmtId="0" fontId="48" fillId="0" borderId="0" xfId="0" applyFont="1" applyAlignment="1" applyProtection="1">
      <alignment horizontal="left" vertical="center"/>
      <protection locked="0"/>
    </xf>
    <xf numFmtId="0" fontId="18" fillId="21" borderId="0" xfId="0" applyFont="1" applyFill="1"/>
    <xf numFmtId="0" fontId="20" fillId="0" borderId="2" xfId="0" applyFont="1" applyBorder="1" applyAlignment="1">
      <alignment wrapText="1"/>
    </xf>
    <xf numFmtId="0" fontId="54" fillId="11" borderId="7" xfId="1" applyFont="1" applyFill="1" applyBorder="1" applyAlignment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2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18" fillId="20" borderId="0" xfId="0" applyFont="1" applyFill="1" applyAlignment="1">
      <alignment vertical="center"/>
    </xf>
    <xf numFmtId="0" fontId="21" fillId="20" borderId="5" xfId="0" applyFont="1" applyFill="1" applyBorder="1" applyAlignment="1">
      <alignment horizontal="center" vertical="center"/>
    </xf>
    <xf numFmtId="0" fontId="21" fillId="20" borderId="5" xfId="0" applyFont="1" applyFill="1" applyBorder="1" applyAlignment="1">
      <alignment horizontal="center" vertical="center" wrapText="1"/>
    </xf>
    <xf numFmtId="0" fontId="18" fillId="20" borderId="0" xfId="0" applyFont="1" applyFill="1" applyAlignment="1">
      <alignment horizontal="center" vertical="center"/>
    </xf>
    <xf numFmtId="0" fontId="20" fillId="20" borderId="0" xfId="0" applyFont="1" applyFill="1" applyAlignment="1">
      <alignment horizontal="center" vertical="center"/>
    </xf>
    <xf numFmtId="0" fontId="21" fillId="20" borderId="4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 wrapText="1"/>
    </xf>
    <xf numFmtId="0" fontId="41" fillId="12" borderId="7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18" fillId="21" borderId="0" xfId="0" applyFont="1" applyFill="1" applyAlignment="1">
      <alignment vertical="center"/>
    </xf>
    <xf numFmtId="0" fontId="18" fillId="21" borderId="0" xfId="0" applyFont="1" applyFill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1" fontId="15" fillId="20" borderId="7" xfId="0" applyNumberFormat="1" applyFont="1" applyFill="1" applyBorder="1" applyAlignment="1">
      <alignment horizontal="center" vertical="center"/>
    </xf>
    <xf numFmtId="1" fontId="15" fillId="23" borderId="7" xfId="0" applyNumberFormat="1" applyFont="1" applyFill="1" applyBorder="1" applyAlignment="1">
      <alignment horizontal="center" vertical="center"/>
    </xf>
    <xf numFmtId="1" fontId="16" fillId="23" borderId="7" xfId="1" applyNumberFormat="1" applyFont="1" applyFill="1" applyBorder="1" applyAlignment="1">
      <alignment horizontal="center" vertical="center"/>
    </xf>
    <xf numFmtId="2" fontId="16" fillId="23" borderId="7" xfId="1" applyNumberFormat="1" applyFont="1" applyFill="1" applyBorder="1" applyAlignment="1">
      <alignment horizontal="center" vertical="center"/>
    </xf>
    <xf numFmtId="0" fontId="16" fillId="23" borderId="7" xfId="1" applyFont="1" applyFill="1" applyBorder="1" applyAlignment="1">
      <alignment horizontal="center" vertical="center"/>
    </xf>
    <xf numFmtId="0" fontId="16" fillId="23" borderId="6" xfId="1" applyFont="1" applyFill="1" applyBorder="1" applyAlignment="1">
      <alignment horizontal="center" vertical="center"/>
    </xf>
    <xf numFmtId="1" fontId="16" fillId="23" borderId="13" xfId="1" applyNumberFormat="1" applyFont="1" applyFill="1" applyBorder="1" applyAlignment="1">
      <alignment horizontal="center" vertical="center"/>
    </xf>
    <xf numFmtId="1" fontId="16" fillId="23" borderId="6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48" fillId="0" borderId="26" xfId="0" applyFont="1" applyBorder="1" applyAlignment="1" applyProtection="1">
      <alignment horizontal="center" vertical="center" wrapText="1"/>
      <protection locked="0"/>
    </xf>
    <xf numFmtId="0" fontId="48" fillId="0" borderId="7" xfId="0" applyFont="1" applyBorder="1" applyAlignment="1" applyProtection="1">
      <alignment horizontal="center" vertical="center" wrapText="1"/>
      <protection locked="0"/>
    </xf>
    <xf numFmtId="0" fontId="48" fillId="0" borderId="23" xfId="0" applyFont="1" applyBorder="1" applyAlignment="1" applyProtection="1">
      <alignment horizontal="center" vertical="center" wrapText="1"/>
      <protection locked="0"/>
    </xf>
    <xf numFmtId="0" fontId="66" fillId="3" borderId="7" xfId="0" applyFont="1" applyFill="1" applyBorder="1" applyAlignment="1">
      <alignment horizontal="center" vertical="center"/>
    </xf>
    <xf numFmtId="1" fontId="14" fillId="23" borderId="6" xfId="0" applyNumberFormat="1" applyFont="1" applyFill="1" applyBorder="1" applyAlignment="1">
      <alignment horizontal="center" vertical="center"/>
    </xf>
    <xf numFmtId="1" fontId="14" fillId="20" borderId="7" xfId="0" applyNumberFormat="1" applyFont="1" applyFill="1" applyBorder="1" applyAlignment="1">
      <alignment horizontal="center" vertical="center"/>
    </xf>
    <xf numFmtId="1" fontId="14" fillId="23" borderId="7" xfId="0" applyNumberFormat="1" applyFont="1" applyFill="1" applyBorder="1" applyAlignment="1">
      <alignment horizontal="center" vertical="center"/>
    </xf>
    <xf numFmtId="2" fontId="14" fillId="20" borderId="7" xfId="0" applyNumberFormat="1" applyFont="1" applyFill="1" applyBorder="1" applyAlignment="1">
      <alignment horizontal="center" vertical="center"/>
    </xf>
    <xf numFmtId="2" fontId="14" fillId="23" borderId="7" xfId="0" applyNumberFormat="1" applyFont="1" applyFill="1" applyBorder="1" applyAlignment="1">
      <alignment horizontal="center" vertical="center"/>
    </xf>
    <xf numFmtId="1" fontId="71" fillId="0" borderId="7" xfId="0" applyNumberFormat="1" applyFont="1" applyBorder="1" applyAlignment="1">
      <alignment horizontal="center" vertical="center"/>
    </xf>
    <xf numFmtId="2" fontId="34" fillId="23" borderId="7" xfId="1" applyNumberFormat="1" applyFont="1" applyFill="1" applyBorder="1" applyAlignment="1">
      <alignment horizontal="center" vertical="center"/>
    </xf>
    <xf numFmtId="0" fontId="34" fillId="23" borderId="7" xfId="1" applyFont="1" applyFill="1" applyBorder="1" applyAlignment="1">
      <alignment horizontal="center" vertical="center"/>
    </xf>
    <xf numFmtId="1" fontId="34" fillId="23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textRotation="90"/>
    </xf>
    <xf numFmtId="0" fontId="18" fillId="3" borderId="2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 textRotation="90"/>
    </xf>
    <xf numFmtId="0" fontId="18" fillId="3" borderId="2" xfId="0" applyFont="1" applyFill="1" applyBorder="1" applyAlignment="1">
      <alignment horizontal="center" vertical="center"/>
    </xf>
    <xf numFmtId="0" fontId="27" fillId="0" borderId="0" xfId="1" applyFont="1"/>
    <xf numFmtId="0" fontId="27" fillId="0" borderId="12" xfId="1" applyFont="1" applyBorder="1"/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1" fillId="23" borderId="7" xfId="1" applyFill="1" applyBorder="1" applyAlignment="1">
      <alignment horizontal="center" vertical="center"/>
    </xf>
    <xf numFmtId="0" fontId="32" fillId="23" borderId="7" xfId="1" applyFont="1" applyFill="1" applyBorder="1" applyAlignment="1">
      <alignment horizontal="center" vertical="center"/>
    </xf>
    <xf numFmtId="0" fontId="0" fillId="23" borderId="7" xfId="0" applyFill="1" applyBorder="1" applyAlignment="1">
      <alignment horizontal="center" vertical="center"/>
    </xf>
    <xf numFmtId="0" fontId="34" fillId="20" borderId="7" xfId="1" applyFont="1" applyFill="1" applyBorder="1" applyAlignment="1">
      <alignment horizontal="center" vertical="center"/>
    </xf>
    <xf numFmtId="1" fontId="34" fillId="20" borderId="7" xfId="1" applyNumberFormat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2" fontId="9" fillId="0" borderId="7" xfId="1" applyNumberFormat="1" applyFont="1" applyBorder="1" applyAlignment="1">
      <alignment horizontal="center" vertical="center" wrapText="1"/>
    </xf>
    <xf numFmtId="1" fontId="74" fillId="23" borderId="7" xfId="1" applyNumberFormat="1" applyFont="1" applyFill="1" applyBorder="1" applyAlignment="1">
      <alignment horizontal="center" vertical="center"/>
    </xf>
    <xf numFmtId="2" fontId="83" fillId="23" borderId="7" xfId="1" applyNumberFormat="1" applyFont="1" applyFill="1" applyBorder="1" applyAlignment="1">
      <alignment horizontal="center" vertical="center"/>
    </xf>
    <xf numFmtId="0" fontId="75" fillId="23" borderId="7" xfId="1" applyFont="1" applyFill="1" applyBorder="1" applyAlignment="1">
      <alignment vertical="center"/>
    </xf>
    <xf numFmtId="0" fontId="9" fillId="23" borderId="7" xfId="1" applyFont="1" applyFill="1" applyBorder="1" applyAlignment="1">
      <alignment horizontal="center" vertical="center" wrapText="1"/>
    </xf>
    <xf numFmtId="2" fontId="13" fillId="23" borderId="7" xfId="1" applyNumberFormat="1" applyFont="1" applyFill="1" applyBorder="1" applyAlignment="1">
      <alignment horizontal="center" vertical="center"/>
    </xf>
    <xf numFmtId="1" fontId="35" fillId="23" borderId="7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7" fillId="11" borderId="7" xfId="1" applyFont="1" applyFill="1" applyBorder="1" applyAlignment="1" applyProtection="1">
      <alignment horizontal="center" vertical="center" wrapText="1"/>
      <protection locked="0"/>
    </xf>
    <xf numFmtId="0" fontId="10" fillId="23" borderId="29" xfId="1" applyFont="1" applyFill="1" applyBorder="1" applyAlignment="1">
      <alignment horizontal="center" vertical="center" wrapText="1"/>
    </xf>
    <xf numFmtId="0" fontId="10" fillId="23" borderId="28" xfId="1" applyFont="1" applyFill="1" applyBorder="1" applyAlignment="1">
      <alignment horizontal="center" vertical="center" wrapText="1"/>
    </xf>
    <xf numFmtId="0" fontId="10" fillId="23" borderId="32" xfId="1" applyFont="1" applyFill="1" applyBorder="1" applyAlignment="1">
      <alignment horizontal="center" vertical="center" wrapText="1"/>
    </xf>
    <xf numFmtId="0" fontId="10" fillId="23" borderId="26" xfId="1" applyFont="1" applyFill="1" applyBorder="1" applyAlignment="1">
      <alignment horizontal="center" vertical="center" wrapText="1"/>
    </xf>
    <xf numFmtId="0" fontId="82" fillId="0" borderId="13" xfId="1" applyFont="1" applyBorder="1" applyAlignment="1">
      <alignment horizontal="center" vertical="center" wrapText="1"/>
    </xf>
    <xf numFmtId="0" fontId="82" fillId="0" borderId="6" xfId="1" applyFont="1" applyBorder="1" applyAlignment="1">
      <alignment horizontal="center" vertical="center" wrapText="1"/>
    </xf>
    <xf numFmtId="0" fontId="64" fillId="16" borderId="27" xfId="1" applyFont="1" applyFill="1" applyBorder="1" applyAlignment="1">
      <alignment horizontal="center" vertical="center" wrapText="1"/>
    </xf>
    <xf numFmtId="0" fontId="64" fillId="16" borderId="28" xfId="1" applyFont="1" applyFill="1" applyBorder="1" applyAlignment="1">
      <alignment horizontal="center" vertical="center" wrapText="1"/>
    </xf>
    <xf numFmtId="0" fontId="64" fillId="16" borderId="26" xfId="1" applyFont="1" applyFill="1" applyBorder="1" applyAlignment="1">
      <alignment horizontal="center" vertical="center" wrapText="1"/>
    </xf>
    <xf numFmtId="0" fontId="52" fillId="16" borderId="33" xfId="1" applyFont="1" applyFill="1" applyBorder="1" applyAlignment="1">
      <alignment horizontal="center" vertical="center" wrapText="1"/>
    </xf>
    <xf numFmtId="0" fontId="52" fillId="16" borderId="22" xfId="1" applyFont="1" applyFill="1" applyBorder="1" applyAlignment="1">
      <alignment horizontal="center" vertical="center" wrapText="1"/>
    </xf>
    <xf numFmtId="0" fontId="52" fillId="16" borderId="29" xfId="1" applyFont="1" applyFill="1" applyBorder="1" applyAlignment="1">
      <alignment horizontal="center" vertical="center" wrapText="1"/>
    </xf>
    <xf numFmtId="0" fontId="52" fillId="16" borderId="0" xfId="1" applyFont="1" applyFill="1" applyAlignment="1">
      <alignment horizontal="center" vertical="center" wrapText="1"/>
    </xf>
    <xf numFmtId="0" fontId="52" fillId="16" borderId="32" xfId="1" applyFont="1" applyFill="1" applyBorder="1" applyAlignment="1">
      <alignment horizontal="center" vertical="center" wrapText="1"/>
    </xf>
    <xf numFmtId="0" fontId="52" fillId="16" borderId="12" xfId="1" applyFont="1" applyFill="1" applyBorder="1" applyAlignment="1">
      <alignment horizontal="center" vertical="center" wrapText="1"/>
    </xf>
    <xf numFmtId="0" fontId="60" fillId="20" borderId="7" xfId="1" applyFont="1" applyFill="1" applyBorder="1" applyAlignment="1">
      <alignment horizontal="left" vertical="center" wrapText="1"/>
    </xf>
    <xf numFmtId="0" fontId="60" fillId="23" borderId="7" xfId="1" applyFont="1" applyFill="1" applyBorder="1" applyAlignment="1">
      <alignment horizontal="left" vertical="center" wrapText="1"/>
    </xf>
    <xf numFmtId="0" fontId="35" fillId="22" borderId="7" xfId="1" applyFont="1" applyFill="1" applyBorder="1" applyAlignment="1">
      <alignment horizontal="center" vertical="center" wrapText="1"/>
    </xf>
    <xf numFmtId="0" fontId="29" fillId="22" borderId="7" xfId="1" applyFont="1" applyFill="1" applyBorder="1" applyAlignment="1">
      <alignment horizontal="center" vertical="center" wrapText="1"/>
    </xf>
    <xf numFmtId="0" fontId="77" fillId="18" borderId="7" xfId="1" applyFont="1" applyFill="1" applyBorder="1" applyAlignment="1">
      <alignment horizontal="center" vertical="center" textRotation="90" wrapText="1"/>
    </xf>
    <xf numFmtId="0" fontId="60" fillId="23" borderId="23" xfId="1" applyFont="1" applyFill="1" applyBorder="1" applyAlignment="1">
      <alignment horizontal="left" vertical="center" wrapText="1"/>
    </xf>
    <xf numFmtId="0" fontId="60" fillId="23" borderId="24" xfId="1" applyFont="1" applyFill="1" applyBorder="1" applyAlignment="1">
      <alignment horizontal="left" vertical="center" wrapText="1"/>
    </xf>
    <xf numFmtId="0" fontId="60" fillId="23" borderId="21" xfId="1" applyFont="1" applyFill="1" applyBorder="1" applyAlignment="1">
      <alignment horizontal="left" vertical="center" wrapText="1"/>
    </xf>
    <xf numFmtId="0" fontId="35" fillId="15" borderId="7" xfId="1" applyFont="1" applyFill="1" applyBorder="1" applyAlignment="1">
      <alignment horizontal="center" vertical="center" wrapText="1"/>
    </xf>
    <xf numFmtId="0" fontId="74" fillId="18" borderId="33" xfId="1" applyFont="1" applyFill="1" applyBorder="1" applyAlignment="1">
      <alignment horizontal="center" vertical="center" wrapText="1"/>
    </xf>
    <xf numFmtId="0" fontId="74" fillId="18" borderId="27" xfId="1" applyFont="1" applyFill="1" applyBorder="1" applyAlignment="1">
      <alignment horizontal="center" vertical="center" wrapText="1"/>
    </xf>
    <xf numFmtId="0" fontId="74" fillId="18" borderId="29" xfId="1" applyFont="1" applyFill="1" applyBorder="1" applyAlignment="1">
      <alignment horizontal="center" vertical="center" wrapText="1"/>
    </xf>
    <xf numFmtId="0" fontId="74" fillId="18" borderId="28" xfId="1" applyFont="1" applyFill="1" applyBorder="1" applyAlignment="1">
      <alignment horizontal="center" vertical="center" wrapText="1"/>
    </xf>
    <xf numFmtId="0" fontId="74" fillId="18" borderId="32" xfId="1" applyFont="1" applyFill="1" applyBorder="1" applyAlignment="1">
      <alignment horizontal="center" vertical="center" wrapText="1"/>
    </xf>
    <xf numFmtId="0" fontId="74" fillId="18" borderId="26" xfId="1" applyFont="1" applyFill="1" applyBorder="1" applyAlignment="1">
      <alignment horizontal="center" vertical="center" wrapText="1"/>
    </xf>
    <xf numFmtId="0" fontId="73" fillId="18" borderId="13" xfId="1" applyFont="1" applyFill="1" applyBorder="1" applyAlignment="1">
      <alignment horizontal="center" vertical="center" wrapText="1"/>
    </xf>
    <xf numFmtId="0" fontId="73" fillId="18" borderId="14" xfId="1" applyFont="1" applyFill="1" applyBorder="1" applyAlignment="1">
      <alignment horizontal="center" vertical="center" wrapText="1"/>
    </xf>
    <xf numFmtId="0" fontId="73" fillId="18" borderId="6" xfId="1" applyFont="1" applyFill="1" applyBorder="1" applyAlignment="1">
      <alignment horizontal="center" vertical="center" wrapText="1"/>
    </xf>
    <xf numFmtId="0" fontId="35" fillId="16" borderId="7" xfId="1" applyFont="1" applyFill="1" applyBorder="1" applyAlignment="1">
      <alignment horizontal="center" vertical="center" wrapText="1"/>
    </xf>
    <xf numFmtId="0" fontId="29" fillId="16" borderId="7" xfId="1" applyFont="1" applyFill="1" applyBorder="1" applyAlignment="1">
      <alignment horizontal="center" vertical="center" wrapText="1"/>
    </xf>
    <xf numFmtId="0" fontId="29" fillId="15" borderId="7" xfId="1" applyFont="1" applyFill="1" applyBorder="1" applyAlignment="1">
      <alignment horizontal="center" vertical="center" wrapText="1"/>
    </xf>
    <xf numFmtId="0" fontId="64" fillId="18" borderId="7" xfId="1" applyFont="1" applyFill="1" applyBorder="1" applyAlignment="1">
      <alignment horizontal="center" vertical="center" wrapText="1"/>
    </xf>
    <xf numFmtId="0" fontId="64" fillId="18" borderId="24" xfId="1" applyFont="1" applyFill="1" applyBorder="1" applyAlignment="1">
      <alignment horizontal="center" vertical="center" wrapText="1"/>
    </xf>
    <xf numFmtId="0" fontId="81" fillId="6" borderId="0" xfId="0" applyFont="1" applyFill="1" applyAlignment="1">
      <alignment horizontal="center" wrapText="1"/>
    </xf>
    <xf numFmtId="0" fontId="81" fillId="6" borderId="12" xfId="0" applyFont="1" applyFill="1" applyBorder="1" applyAlignment="1">
      <alignment horizontal="center" wrapText="1"/>
    </xf>
    <xf numFmtId="0" fontId="55" fillId="5" borderId="24" xfId="1" applyFont="1" applyFill="1" applyBorder="1" applyAlignment="1" applyProtection="1">
      <alignment horizontal="center"/>
      <protection locked="0"/>
    </xf>
    <xf numFmtId="0" fontId="55" fillId="5" borderId="21" xfId="1" applyFont="1" applyFill="1" applyBorder="1" applyAlignment="1" applyProtection="1">
      <alignment horizontal="center"/>
      <protection locked="0"/>
    </xf>
    <xf numFmtId="0" fontId="55" fillId="5" borderId="23" xfId="1" applyFont="1" applyFill="1" applyBorder="1" applyAlignment="1" applyProtection="1">
      <alignment horizontal="center"/>
      <protection locked="0"/>
    </xf>
    <xf numFmtId="0" fontId="26" fillId="26" borderId="12" xfId="1" applyFont="1" applyFill="1" applyBorder="1" applyAlignment="1">
      <alignment horizontal="center"/>
    </xf>
    <xf numFmtId="0" fontId="13" fillId="13" borderId="24" xfId="1" applyFont="1" applyFill="1" applyBorder="1" applyAlignment="1">
      <alignment horizontal="center"/>
    </xf>
    <xf numFmtId="0" fontId="13" fillId="13" borderId="21" xfId="1" applyFont="1" applyFill="1" applyBorder="1" applyAlignment="1">
      <alignment horizontal="center"/>
    </xf>
    <xf numFmtId="0" fontId="13" fillId="13" borderId="23" xfId="1" applyFont="1" applyFill="1" applyBorder="1" applyAlignment="1">
      <alignment horizontal="center"/>
    </xf>
    <xf numFmtId="0" fontId="26" fillId="6" borderId="12" xfId="1" applyFont="1" applyFill="1" applyBorder="1" applyAlignment="1">
      <alignment horizontal="center"/>
    </xf>
    <xf numFmtId="0" fontId="78" fillId="6" borderId="12" xfId="1" applyFont="1" applyFill="1" applyBorder="1" applyAlignment="1">
      <alignment horizontal="center"/>
    </xf>
    <xf numFmtId="0" fontId="78" fillId="6" borderId="26" xfId="1" applyFont="1" applyFill="1" applyBorder="1" applyAlignment="1">
      <alignment horizontal="center"/>
    </xf>
    <xf numFmtId="0" fontId="76" fillId="20" borderId="7" xfId="1" applyFont="1" applyFill="1" applyBorder="1" applyAlignment="1">
      <alignment horizontal="center"/>
    </xf>
    <xf numFmtId="0" fontId="26" fillId="25" borderId="0" xfId="1" applyFont="1" applyFill="1" applyAlignment="1">
      <alignment horizontal="center"/>
    </xf>
    <xf numFmtId="0" fontId="26" fillId="3" borderId="0" xfId="1" applyFont="1" applyFill="1" applyAlignment="1">
      <alignment horizontal="center"/>
    </xf>
    <xf numFmtId="0" fontId="26" fillId="3" borderId="12" xfId="1" applyFont="1" applyFill="1" applyBorder="1" applyAlignment="1">
      <alignment horizontal="center"/>
    </xf>
    <xf numFmtId="0" fontId="80" fillId="15" borderId="24" xfId="1" applyFont="1" applyFill="1" applyBorder="1" applyAlignment="1">
      <alignment horizontal="center"/>
    </xf>
    <xf numFmtId="0" fontId="80" fillId="15" borderId="21" xfId="1" applyFont="1" applyFill="1" applyBorder="1" applyAlignment="1">
      <alignment horizontal="center"/>
    </xf>
    <xf numFmtId="0" fontId="80" fillId="15" borderId="23" xfId="1" applyFont="1" applyFill="1" applyBorder="1" applyAlignment="1">
      <alignment horizontal="center"/>
    </xf>
    <xf numFmtId="0" fontId="20" fillId="20" borderId="0" xfId="0" applyFont="1" applyFill="1" applyAlignment="1">
      <alignment horizontal="center" vertical="center"/>
    </xf>
    <xf numFmtId="0" fontId="22" fillId="20" borderId="0" xfId="0" applyFont="1" applyFill="1" applyAlignment="1">
      <alignment horizontal="center" vertical="center"/>
    </xf>
    <xf numFmtId="0" fontId="23" fillId="20" borderId="0" xfId="0" applyFont="1" applyFill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0" fillId="21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22" fillId="21" borderId="0" xfId="0" applyFont="1" applyFill="1" applyAlignment="1">
      <alignment horizontal="center"/>
    </xf>
    <xf numFmtId="0" fontId="58" fillId="3" borderId="0" xfId="0" applyFont="1" applyFill="1" applyAlignment="1">
      <alignment horizontal="left"/>
    </xf>
    <xf numFmtId="0" fontId="20" fillId="20" borderId="0" xfId="0" applyFont="1" applyFill="1" applyAlignment="1">
      <alignment horizontal="righ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1" fillId="12" borderId="7" xfId="0" applyFont="1" applyFill="1" applyBorder="1" applyAlignment="1">
      <alignment horizontal="center" vertical="center"/>
    </xf>
    <xf numFmtId="0" fontId="40" fillId="10" borderId="7" xfId="0" applyFont="1" applyFill="1" applyBorder="1" applyAlignment="1" applyProtection="1">
      <alignment horizontal="center" vertical="center" wrapText="1"/>
      <protection locked="0"/>
    </xf>
    <xf numFmtId="0" fontId="40" fillId="10" borderId="7" xfId="0" applyFont="1" applyFill="1" applyBorder="1" applyAlignment="1" applyProtection="1">
      <alignment horizontal="center" vertical="center"/>
      <protection locked="0"/>
    </xf>
    <xf numFmtId="0" fontId="65" fillId="12" borderId="7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/>
    </xf>
    <xf numFmtId="0" fontId="33" fillId="9" borderId="13" xfId="0" applyFont="1" applyFill="1" applyBorder="1" applyAlignment="1">
      <alignment horizontal="center" vertical="center"/>
    </xf>
    <xf numFmtId="0" fontId="63" fillId="9" borderId="7" xfId="0" applyFont="1" applyFill="1" applyBorder="1" applyAlignment="1">
      <alignment horizontal="center" vertical="center" wrapText="1"/>
    </xf>
    <xf numFmtId="0" fontId="63" fillId="9" borderId="13" xfId="0" applyFont="1" applyFill="1" applyBorder="1" applyAlignment="1">
      <alignment horizontal="center" vertical="center" wrapText="1"/>
    </xf>
    <xf numFmtId="0" fontId="64" fillId="9" borderId="7" xfId="0" applyFont="1" applyFill="1" applyBorder="1" applyAlignment="1">
      <alignment horizontal="center" vertical="center" textRotation="90" wrapText="1"/>
    </xf>
    <xf numFmtId="0" fontId="64" fillId="9" borderId="13" xfId="0" applyFont="1" applyFill="1" applyBorder="1" applyAlignment="1">
      <alignment horizontal="center" vertical="center" textRotation="90" wrapText="1"/>
    </xf>
    <xf numFmtId="0" fontId="67" fillId="2" borderId="7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51" fillId="4" borderId="29" xfId="0" applyFont="1" applyFill="1" applyBorder="1" applyAlignment="1" applyProtection="1">
      <alignment horizontal="center" vertical="center" wrapText="1"/>
      <protection locked="0"/>
    </xf>
    <xf numFmtId="0" fontId="68" fillId="3" borderId="21" xfId="0" applyFont="1" applyFill="1" applyBorder="1" applyAlignment="1">
      <alignment horizontal="center" vertical="center" wrapText="1"/>
    </xf>
    <xf numFmtId="0" fontId="68" fillId="3" borderId="23" xfId="0" applyFont="1" applyFill="1" applyBorder="1" applyAlignment="1">
      <alignment horizontal="center" vertical="center" wrapText="1"/>
    </xf>
    <xf numFmtId="0" fontId="70" fillId="2" borderId="24" xfId="0" applyFont="1" applyFill="1" applyBorder="1" applyAlignment="1">
      <alignment horizontal="center" vertical="center"/>
    </xf>
    <xf numFmtId="0" fontId="70" fillId="2" borderId="21" xfId="0" applyFont="1" applyFill="1" applyBorder="1" applyAlignment="1">
      <alignment horizontal="center" vertical="center"/>
    </xf>
    <xf numFmtId="2" fontId="41" fillId="12" borderId="24" xfId="0" applyNumberFormat="1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2" fontId="41" fillId="12" borderId="23" xfId="0" applyNumberFormat="1" applyFont="1" applyFill="1" applyBorder="1" applyAlignment="1">
      <alignment horizontal="center" vertical="center"/>
    </xf>
    <xf numFmtId="0" fontId="40" fillId="10" borderId="24" xfId="0" applyFont="1" applyFill="1" applyBorder="1" applyAlignment="1" applyProtection="1">
      <alignment horizontal="center" vertical="center"/>
      <protection locked="0"/>
    </xf>
    <xf numFmtId="0" fontId="40" fillId="10" borderId="21" xfId="0" applyFont="1" applyFill="1" applyBorder="1" applyAlignment="1" applyProtection="1">
      <alignment horizontal="center" vertical="center"/>
      <protection locked="0"/>
    </xf>
    <xf numFmtId="0" fontId="40" fillId="10" borderId="23" xfId="0" applyFont="1" applyFill="1" applyBorder="1" applyAlignment="1" applyProtection="1">
      <alignment horizontal="center" vertical="center"/>
      <protection locked="0"/>
    </xf>
    <xf numFmtId="165" fontId="40" fillId="10" borderId="24" xfId="0" applyNumberFormat="1" applyFont="1" applyFill="1" applyBorder="1" applyAlignment="1" applyProtection="1">
      <alignment horizontal="center" vertical="center"/>
      <protection locked="0"/>
    </xf>
    <xf numFmtId="165" fontId="40" fillId="10" borderId="23" xfId="0" applyNumberFormat="1" applyFont="1" applyFill="1" applyBorder="1" applyAlignment="1" applyProtection="1">
      <alignment horizontal="center" vertical="center"/>
      <protection locked="0"/>
    </xf>
    <xf numFmtId="165" fontId="26" fillId="12" borderId="24" xfId="0" applyNumberFormat="1" applyFont="1" applyFill="1" applyBorder="1" applyAlignment="1">
      <alignment horizontal="center" vertical="center" wrapText="1"/>
    </xf>
    <xf numFmtId="165" fontId="26" fillId="12" borderId="23" xfId="0" applyNumberFormat="1" applyFont="1" applyFill="1" applyBorder="1" applyAlignment="1">
      <alignment horizontal="center" vertical="center" wrapText="1"/>
    </xf>
    <xf numFmtId="0" fontId="48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47" fillId="3" borderId="0" xfId="0" applyFont="1" applyFill="1" applyAlignment="1" applyProtection="1">
      <alignment horizontal="right" vertical="center"/>
      <protection locked="0"/>
    </xf>
    <xf numFmtId="0" fontId="47" fillId="3" borderId="0" xfId="0" applyFont="1" applyFill="1" applyAlignment="1" applyProtection="1">
      <alignment horizontal="center" vertical="center"/>
      <protection locked="0"/>
    </xf>
    <xf numFmtId="0" fontId="49" fillId="19" borderId="0" xfId="0" applyFont="1" applyFill="1" applyAlignment="1" applyProtection="1">
      <alignment horizontal="center" vertical="center"/>
      <protection locked="0"/>
    </xf>
    <xf numFmtId="0" fontId="28" fillId="3" borderId="24" xfId="0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 applyProtection="1">
      <alignment horizontal="center" vertical="center"/>
      <protection locked="0"/>
    </xf>
    <xf numFmtId="0" fontId="28" fillId="3" borderId="23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>
      <alignment horizontal="center" vertical="center" textRotation="90" wrapText="1"/>
    </xf>
    <xf numFmtId="0" fontId="14" fillId="4" borderId="7" xfId="0" applyFont="1" applyFill="1" applyBorder="1" applyAlignment="1">
      <alignment horizontal="center" vertical="center" textRotation="90"/>
    </xf>
    <xf numFmtId="0" fontId="14" fillId="4" borderId="7" xfId="0" applyFont="1" applyFill="1" applyBorder="1" applyAlignment="1">
      <alignment horizontal="left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textRotation="90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5" fillId="15" borderId="13" xfId="0" applyFont="1" applyFill="1" applyBorder="1" applyAlignment="1" applyProtection="1">
      <alignment horizontal="center" vertical="center" textRotation="90" wrapText="1"/>
      <protection locked="0"/>
    </xf>
    <xf numFmtId="0" fontId="15" fillId="15" borderId="14" xfId="0" applyFont="1" applyFill="1" applyBorder="1" applyAlignment="1" applyProtection="1">
      <alignment horizontal="center" vertical="center" textRotation="90" wrapText="1"/>
      <protection locked="0"/>
    </xf>
    <xf numFmtId="0" fontId="15" fillId="15" borderId="6" xfId="0" applyFont="1" applyFill="1" applyBorder="1" applyAlignment="1" applyProtection="1">
      <alignment horizontal="center" vertical="center" textRotation="90" wrapText="1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/>
    </xf>
    <xf numFmtId="0" fontId="15" fillId="15" borderId="7" xfId="0" applyFont="1" applyFill="1" applyBorder="1" applyAlignment="1" applyProtection="1">
      <alignment horizontal="center" vertical="center" textRotation="90" wrapText="1"/>
      <protection locked="0"/>
    </xf>
    <xf numFmtId="1" fontId="15" fillId="13" borderId="7" xfId="0" applyNumberFormat="1" applyFont="1" applyFill="1" applyBorder="1" applyAlignment="1" applyProtection="1">
      <alignment horizontal="center" vertical="center"/>
      <protection locked="0"/>
    </xf>
    <xf numFmtId="0" fontId="41" fillId="20" borderId="33" xfId="0" applyFont="1" applyFill="1" applyBorder="1" applyAlignment="1">
      <alignment horizontal="center" vertical="center"/>
    </xf>
    <xf numFmtId="0" fontId="41" fillId="20" borderId="27" xfId="0" applyFont="1" applyFill="1" applyBorder="1" applyAlignment="1">
      <alignment horizontal="center" vertical="center"/>
    </xf>
    <xf numFmtId="0" fontId="41" fillId="20" borderId="29" xfId="0" applyFont="1" applyFill="1" applyBorder="1" applyAlignment="1">
      <alignment horizontal="center" vertical="center"/>
    </xf>
    <xf numFmtId="0" fontId="41" fillId="20" borderId="28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0" fontId="26" fillId="5" borderId="27" xfId="0" applyFont="1" applyFill="1" applyBorder="1" applyAlignment="1">
      <alignment horizontal="center" vertical="center"/>
    </xf>
    <xf numFmtId="0" fontId="26" fillId="5" borderId="29" xfId="0" applyFont="1" applyFill="1" applyBorder="1" applyAlignment="1">
      <alignment horizontal="center" vertical="center"/>
    </xf>
    <xf numFmtId="0" fontId="26" fillId="5" borderId="28" xfId="0" applyFont="1" applyFill="1" applyBorder="1" applyAlignment="1">
      <alignment horizontal="center" vertical="center"/>
    </xf>
    <xf numFmtId="0" fontId="26" fillId="5" borderId="32" xfId="0" applyFont="1" applyFill="1" applyBorder="1" applyAlignment="1">
      <alignment horizontal="center" vertical="center"/>
    </xf>
    <xf numFmtId="0" fontId="26" fillId="5" borderId="26" xfId="0" applyFont="1" applyFill="1" applyBorder="1" applyAlignment="1">
      <alignment horizontal="center" vertical="center"/>
    </xf>
    <xf numFmtId="0" fontId="61" fillId="24" borderId="22" xfId="0" applyFont="1" applyFill="1" applyBorder="1" applyAlignment="1">
      <alignment horizontal="center" vertical="center" wrapText="1"/>
    </xf>
    <xf numFmtId="0" fontId="61" fillId="24" borderId="22" xfId="0" applyFont="1" applyFill="1" applyBorder="1" applyAlignment="1">
      <alignment horizontal="center" vertical="center"/>
    </xf>
    <xf numFmtId="0" fontId="61" fillId="24" borderId="0" xfId="0" applyFont="1" applyFill="1" applyAlignment="1">
      <alignment horizontal="center" vertical="center"/>
    </xf>
    <xf numFmtId="0" fontId="26" fillId="8" borderId="7" xfId="0" applyFont="1" applyFill="1" applyBorder="1" applyAlignment="1">
      <alignment horizontal="center" vertical="center"/>
    </xf>
    <xf numFmtId="0" fontId="29" fillId="14" borderId="22" xfId="0" applyFont="1" applyFill="1" applyBorder="1" applyAlignment="1">
      <alignment horizontal="center" vertical="center"/>
    </xf>
    <xf numFmtId="0" fontId="29" fillId="14" borderId="27" xfId="0" applyFont="1" applyFill="1" applyBorder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0" fontId="29" fillId="14" borderId="28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20" borderId="0" xfId="0" applyFont="1" applyFill="1" applyAlignment="1">
      <alignment horizontal="right"/>
    </xf>
    <xf numFmtId="0" fontId="20" fillId="2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72" fillId="27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0" fillId="21" borderId="0" xfId="0" applyFont="1" applyFill="1" applyAlignment="1">
      <alignment horizontal="center" vertical="center"/>
    </xf>
    <xf numFmtId="0" fontId="59" fillId="22" borderId="0" xfId="0" applyFont="1" applyFill="1" applyAlignment="1">
      <alignment horizontal="center" vertical="center"/>
    </xf>
    <xf numFmtId="0" fontId="23" fillId="21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16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16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6" fillId="0" borderId="30" xfId="0" applyFont="1" applyBorder="1" applyAlignment="1" applyProtection="1">
      <alignment horizontal="left" vertical="center" wrapText="1"/>
      <protection locked="0"/>
    </xf>
    <xf numFmtId="166" fontId="44" fillId="0" borderId="7" xfId="0" applyNumberFormat="1" applyFont="1" applyBorder="1" applyAlignment="1" applyProtection="1">
      <alignment horizontal="center" vertical="center" wrapText="1"/>
      <protection locked="0"/>
    </xf>
    <xf numFmtId="0" fontId="45" fillId="0" borderId="30" xfId="0" applyFont="1" applyBorder="1" applyAlignment="1" applyProtection="1">
      <alignment horizontal="left" vertical="center" wrapText="1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46" fillId="0" borderId="31" xfId="0" applyFont="1" applyBorder="1" applyAlignment="1" applyProtection="1">
      <alignment horizontal="left" vertical="center" wrapText="1"/>
      <protection locked="0"/>
    </xf>
    <xf numFmtId="166" fontId="44" fillId="0" borderId="13" xfId="0" applyNumberFormat="1" applyFont="1" applyBorder="1" applyAlignment="1" applyProtection="1">
      <alignment horizontal="center" vertical="center" wrapText="1"/>
      <protection locked="0"/>
    </xf>
    <xf numFmtId="0" fontId="46" fillId="0" borderId="7" xfId="0" applyFont="1" applyBorder="1" applyAlignment="1" applyProtection="1">
      <alignment horizontal="left" vertical="center" wrapText="1"/>
      <protection locked="0"/>
    </xf>
    <xf numFmtId="0" fontId="86" fillId="21" borderId="0" xfId="2" applyFill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2" xfId="1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%2038/Downloads/Format%20Result%20Analaysis%202016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A-I"/>
      <sheetName val="Format A-II"/>
      <sheetName val="Format A-III"/>
      <sheetName val="Format A-IV"/>
      <sheetName val="Format A-V"/>
      <sheetName val="Format B-I"/>
      <sheetName val="Format B-II"/>
      <sheetName val="Format B-III"/>
      <sheetName val="Format B-IV"/>
      <sheetName val="Format C-I"/>
      <sheetName val="Format C-II"/>
      <sheetName val="Format D"/>
      <sheetName val="Format E"/>
      <sheetName val="Format F"/>
      <sheetName val="Format G"/>
    </sheetNames>
    <sheetDataSet>
      <sheetData sheetId="0" refreshError="1">
        <row r="8">
          <cell r="A8">
            <v>1</v>
          </cell>
          <cell r="B8" t="str">
            <v>KAREERA, MOHINDERGARH</v>
          </cell>
        </row>
      </sheetData>
      <sheetData sheetId="1" refreshError="1"/>
      <sheetData sheetId="2" refreshError="1"/>
      <sheetData sheetId="3" refreshError="1">
        <row r="10">
          <cell r="A1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r. Sunil Vats" id="{A9CC32F1-C1E7-4DFA-8747-267B424AB026}" userId="821ef3a3e83fd15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3-03-22T03:54:04.42" personId="{A9CC32F1-C1E7-4DFA-8747-267B424AB026}" id="{7E21D74C-2AB2-41CF-81E6-840C6B3E1FB9}">
    <text>Enter Region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PdvGzSz6-Oouj3bSxbMV7u0jbMjzGI4D/view?usp=share_lin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B109"/>
  <sheetViews>
    <sheetView view="pageBreakPreview" topLeftCell="B1" zoomScale="85" zoomScaleNormal="85" zoomScaleSheetLayoutView="85" workbookViewId="0">
      <pane ySplit="5" topLeftCell="A6" activePane="bottomLeft" state="frozen"/>
      <selection pane="bottomLeft" activeCell="E32" sqref="E32"/>
    </sheetView>
  </sheetViews>
  <sheetFormatPr defaultRowHeight="15" x14ac:dyDescent="0.25"/>
  <cols>
    <col min="1" max="1" width="5.5703125" customWidth="1"/>
    <col min="2" max="2" width="5.42578125" customWidth="1"/>
    <col min="3" max="3" width="22.140625" customWidth="1"/>
    <col min="4" max="4" width="7.7109375" style="1" bestFit="1" customWidth="1"/>
    <col min="5" max="5" width="10.5703125" style="1" bestFit="1" customWidth="1"/>
    <col min="6" max="6" width="12" style="1" bestFit="1" customWidth="1"/>
    <col min="10" max="20" width="7.85546875" style="1" bestFit="1" customWidth="1"/>
    <col min="21" max="23" width="7.85546875" style="1" customWidth="1"/>
    <col min="24" max="25" width="6.28515625" style="1" customWidth="1"/>
    <col min="26" max="26" width="11.28515625" bestFit="1" customWidth="1"/>
    <col min="27" max="27" width="8.85546875" customWidth="1"/>
    <col min="28" max="28" width="28.28515625" customWidth="1"/>
  </cols>
  <sheetData>
    <row r="1" spans="1:28" ht="20.25" x14ac:dyDescent="0.3">
      <c r="A1" s="273" t="s">
        <v>214</v>
      </c>
      <c r="B1" s="274"/>
      <c r="C1" s="274"/>
      <c r="D1" s="274"/>
      <c r="E1" s="274"/>
      <c r="F1" s="274"/>
      <c r="G1" s="274"/>
      <c r="H1" s="274"/>
      <c r="I1" s="274"/>
      <c r="J1" s="274"/>
      <c r="K1" s="275"/>
      <c r="L1" s="273" t="s">
        <v>215</v>
      </c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5"/>
      <c r="AB1" s="271" t="s">
        <v>265</v>
      </c>
    </row>
    <row r="2" spans="1:28" ht="22.5" x14ac:dyDescent="0.3">
      <c r="A2" s="283" t="s">
        <v>217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B2" s="271"/>
    </row>
    <row r="3" spans="1:28" ht="15.75" x14ac:dyDescent="0.25">
      <c r="A3" s="284" t="s">
        <v>181</v>
      </c>
      <c r="B3" s="284"/>
      <c r="C3" s="284"/>
      <c r="D3" s="284"/>
      <c r="E3" s="284">
        <f>COUNTIF($F$6:$F$84,"SCIENCE")</f>
        <v>0</v>
      </c>
      <c r="F3" s="284"/>
      <c r="G3" s="98"/>
      <c r="H3" s="285" t="s">
        <v>182</v>
      </c>
      <c r="I3" s="285"/>
      <c r="J3" s="285"/>
      <c r="K3" s="285"/>
      <c r="L3" s="286">
        <f>COUNTIF(F6:F84,"COMMERCE")</f>
        <v>0</v>
      </c>
      <c r="M3" s="286"/>
      <c r="N3" s="286"/>
      <c r="O3" s="98"/>
      <c r="P3" s="276" t="s">
        <v>184</v>
      </c>
      <c r="Q3" s="276"/>
      <c r="R3" s="276"/>
      <c r="S3" s="276"/>
      <c r="T3" s="276">
        <f>COUNTIF(F6:F84,"HUMANITIES")</f>
        <v>0</v>
      </c>
      <c r="U3" s="276"/>
      <c r="V3" s="276"/>
      <c r="W3" s="276"/>
      <c r="X3" s="276"/>
      <c r="Y3" s="276"/>
      <c r="Z3" s="99" t="s">
        <v>183</v>
      </c>
      <c r="AB3" s="271"/>
    </row>
    <row r="4" spans="1:28" ht="15.75" x14ac:dyDescent="0.25">
      <c r="A4" s="280" t="s">
        <v>179</v>
      </c>
      <c r="B4" s="280"/>
      <c r="C4" s="281"/>
      <c r="D4" s="281"/>
      <c r="E4" s="281"/>
      <c r="F4" s="281"/>
      <c r="G4" s="281"/>
      <c r="H4" s="281"/>
      <c r="I4" s="282"/>
      <c r="J4" s="287" t="s">
        <v>150</v>
      </c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9"/>
      <c r="X4" s="277" t="s">
        <v>185</v>
      </c>
      <c r="Y4" s="278"/>
      <c r="Z4" s="279"/>
      <c r="AB4" s="272"/>
    </row>
    <row r="5" spans="1:28" ht="52.5" x14ac:dyDescent="0.25">
      <c r="A5" s="100" t="s">
        <v>4</v>
      </c>
      <c r="B5" s="100" t="s">
        <v>84</v>
      </c>
      <c r="C5" s="101" t="s">
        <v>151</v>
      </c>
      <c r="D5" s="100" t="s">
        <v>187</v>
      </c>
      <c r="E5" s="100" t="s">
        <v>152</v>
      </c>
      <c r="F5" s="100" t="s">
        <v>180</v>
      </c>
      <c r="G5" s="101" t="s">
        <v>153</v>
      </c>
      <c r="H5" s="101" t="s">
        <v>154</v>
      </c>
      <c r="I5" s="101" t="s">
        <v>155</v>
      </c>
      <c r="J5" s="232" t="s">
        <v>156</v>
      </c>
      <c r="K5" s="232" t="s">
        <v>157</v>
      </c>
      <c r="L5" s="232" t="s">
        <v>158</v>
      </c>
      <c r="M5" s="232" t="s">
        <v>159</v>
      </c>
      <c r="N5" s="232" t="s">
        <v>160</v>
      </c>
      <c r="O5" s="232" t="s">
        <v>161</v>
      </c>
      <c r="P5" s="232" t="s">
        <v>162</v>
      </c>
      <c r="Q5" s="232" t="s">
        <v>163</v>
      </c>
      <c r="R5" s="232" t="s">
        <v>164</v>
      </c>
      <c r="S5" s="232" t="s">
        <v>165</v>
      </c>
      <c r="T5" s="232" t="s">
        <v>166</v>
      </c>
      <c r="U5" s="232" t="s">
        <v>218</v>
      </c>
      <c r="V5" s="232" t="s">
        <v>219</v>
      </c>
      <c r="W5" s="232" t="s">
        <v>207</v>
      </c>
      <c r="X5" s="102" t="s">
        <v>167</v>
      </c>
      <c r="Y5" s="102" t="s">
        <v>168</v>
      </c>
      <c r="Z5" s="103" t="s">
        <v>178</v>
      </c>
      <c r="AA5" s="103" t="s">
        <v>270</v>
      </c>
      <c r="AB5" s="166" t="s">
        <v>216</v>
      </c>
    </row>
    <row r="6" spans="1:28" s="2" customFormat="1" ht="16.899999999999999" customHeight="1" x14ac:dyDescent="0.25">
      <c r="A6" s="120">
        <v>1</v>
      </c>
      <c r="B6" s="121"/>
      <c r="C6" s="437"/>
      <c r="D6" s="116"/>
      <c r="E6" s="438"/>
      <c r="F6" s="116"/>
      <c r="G6" s="122"/>
      <c r="H6" s="439"/>
      <c r="I6" s="122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117" t="str">
        <f>IF(ISNUMBER(J6),SUM(J6:W6),"")</f>
        <v/>
      </c>
      <c r="Y6" s="118" t="str">
        <f>IF(ISNUMBER(X6),X6/5,"")</f>
        <v/>
      </c>
      <c r="Z6" s="119" t="str">
        <f>IF(ISNUMBER(Y6),RANK(X6,$X$6:$X$38,0),"")</f>
        <v/>
      </c>
      <c r="AA6" s="116"/>
      <c r="AB6" s="216" t="str">
        <f>IF(COUNTA(J6:W6)&lt;&gt;6,"Fill marks of all Subjects","OK")</f>
        <v>Fill marks of all Subjects</v>
      </c>
    </row>
    <row r="7" spans="1:28" s="2" customFormat="1" ht="16.899999999999999" customHeight="1" x14ac:dyDescent="0.25">
      <c r="A7" s="123" t="str">
        <f t="shared" ref="A7:A11" si="0">IF(C7&gt;0,A6+1,"")</f>
        <v/>
      </c>
      <c r="B7" s="124"/>
      <c r="C7" s="437"/>
      <c r="D7" s="116"/>
      <c r="E7" s="438"/>
      <c r="F7" s="116"/>
      <c r="G7" s="125"/>
      <c r="H7" s="437"/>
      <c r="I7" s="125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117" t="str">
        <f t="shared" ref="X7:X70" si="1">IF(ISNUMBER(J7),SUM(J7:W7),"")</f>
        <v/>
      </c>
      <c r="Y7" s="110" t="str">
        <f t="shared" ref="Y7:Y70" si="2">IF(ISNUMBER(X7),X7/5,"")</f>
        <v/>
      </c>
      <c r="Z7" s="111" t="str">
        <f t="shared" ref="Z7:AA34" si="3">IF(ISNUMBER(Y7),RANK(X7,$X$6:$X$38,0),"")</f>
        <v/>
      </c>
      <c r="AA7" s="108"/>
      <c r="AB7" s="216" t="str">
        <f t="shared" ref="AB7:AB70" si="4">IF(COUNTA(J7:W7)&lt;&gt;6,"Fill marks of all Subjects","OK")</f>
        <v>Fill marks of all Subjects</v>
      </c>
    </row>
    <row r="8" spans="1:28" s="2" customFormat="1" ht="16.899999999999999" customHeight="1" x14ac:dyDescent="0.25">
      <c r="A8" s="123" t="str">
        <f t="shared" si="0"/>
        <v/>
      </c>
      <c r="B8" s="124"/>
      <c r="C8" s="437"/>
      <c r="D8" s="116"/>
      <c r="E8" s="438"/>
      <c r="F8" s="116"/>
      <c r="G8" s="125"/>
      <c r="H8" s="437"/>
      <c r="I8" s="125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117" t="str">
        <f t="shared" si="1"/>
        <v/>
      </c>
      <c r="Y8" s="110" t="str">
        <f t="shared" si="2"/>
        <v/>
      </c>
      <c r="Z8" s="111" t="str">
        <f t="shared" si="3"/>
        <v/>
      </c>
      <c r="AA8" s="108"/>
      <c r="AB8" s="216" t="str">
        <f t="shared" si="4"/>
        <v>Fill marks of all Subjects</v>
      </c>
    </row>
    <row r="9" spans="1:28" s="2" customFormat="1" ht="16.899999999999999" customHeight="1" x14ac:dyDescent="0.25">
      <c r="A9" s="123" t="str">
        <f t="shared" si="0"/>
        <v/>
      </c>
      <c r="B9" s="124"/>
      <c r="C9" s="437"/>
      <c r="D9" s="116"/>
      <c r="E9" s="438"/>
      <c r="F9" s="116"/>
      <c r="G9" s="125"/>
      <c r="H9" s="437"/>
      <c r="I9" s="125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117" t="str">
        <f t="shared" si="1"/>
        <v/>
      </c>
      <c r="Y9" s="110" t="str">
        <f t="shared" si="2"/>
        <v/>
      </c>
      <c r="Z9" s="111" t="str">
        <f t="shared" si="3"/>
        <v/>
      </c>
      <c r="AA9" s="108"/>
      <c r="AB9" s="216" t="str">
        <f t="shared" si="4"/>
        <v>Fill marks of all Subjects</v>
      </c>
    </row>
    <row r="10" spans="1:28" s="2" customFormat="1" ht="16.899999999999999" customHeight="1" x14ac:dyDescent="0.25">
      <c r="A10" s="123" t="str">
        <f t="shared" si="0"/>
        <v/>
      </c>
      <c r="B10" s="124"/>
      <c r="C10" s="437"/>
      <c r="D10" s="116"/>
      <c r="E10" s="438"/>
      <c r="F10" s="116"/>
      <c r="G10" s="125"/>
      <c r="H10" s="437"/>
      <c r="I10" s="125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117" t="str">
        <f t="shared" si="1"/>
        <v/>
      </c>
      <c r="Y10" s="110" t="str">
        <f t="shared" si="2"/>
        <v/>
      </c>
      <c r="Z10" s="111" t="str">
        <f t="shared" si="3"/>
        <v/>
      </c>
      <c r="AA10" s="108"/>
      <c r="AB10" s="216" t="str">
        <f t="shared" si="4"/>
        <v>Fill marks of all Subjects</v>
      </c>
    </row>
    <row r="11" spans="1:28" s="2" customFormat="1" ht="16.899999999999999" customHeight="1" x14ac:dyDescent="0.25">
      <c r="A11" s="123" t="str">
        <f t="shared" si="0"/>
        <v/>
      </c>
      <c r="B11" s="124"/>
      <c r="C11" s="437"/>
      <c r="D11" s="116"/>
      <c r="E11" s="438"/>
      <c r="F11" s="116"/>
      <c r="G11" s="125"/>
      <c r="H11" s="437"/>
      <c r="I11" s="125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117" t="str">
        <f t="shared" si="1"/>
        <v/>
      </c>
      <c r="Y11" s="110" t="str">
        <f t="shared" si="2"/>
        <v/>
      </c>
      <c r="Z11" s="111" t="str">
        <f t="shared" si="3"/>
        <v/>
      </c>
      <c r="AA11" s="108"/>
      <c r="AB11" s="216" t="str">
        <f t="shared" si="4"/>
        <v>Fill marks of all Subjects</v>
      </c>
    </row>
    <row r="12" spans="1:28" s="2" customFormat="1" ht="16.899999999999999" customHeight="1" x14ac:dyDescent="0.25">
      <c r="A12" s="123"/>
      <c r="B12" s="124"/>
      <c r="C12" s="437"/>
      <c r="D12" s="116"/>
      <c r="E12" s="438"/>
      <c r="F12" s="116"/>
      <c r="G12" s="125"/>
      <c r="H12" s="437"/>
      <c r="I12" s="125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117" t="str">
        <f t="shared" si="1"/>
        <v/>
      </c>
      <c r="Y12" s="110" t="str">
        <f t="shared" si="2"/>
        <v/>
      </c>
      <c r="Z12" s="111" t="str">
        <f t="shared" si="3"/>
        <v/>
      </c>
      <c r="AA12" s="108" t="str">
        <f t="shared" si="3"/>
        <v/>
      </c>
      <c r="AB12" s="216" t="str">
        <f t="shared" si="4"/>
        <v>Fill marks of all Subjects</v>
      </c>
    </row>
    <row r="13" spans="1:28" s="2" customFormat="1" ht="16.899999999999999" customHeight="1" x14ac:dyDescent="0.25">
      <c r="A13" s="123"/>
      <c r="B13" s="124"/>
      <c r="C13" s="437"/>
      <c r="D13" s="116"/>
      <c r="E13" s="438"/>
      <c r="F13" s="116"/>
      <c r="G13" s="125"/>
      <c r="H13" s="437"/>
      <c r="I13" s="125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117" t="str">
        <f t="shared" si="1"/>
        <v/>
      </c>
      <c r="Y13" s="110" t="str">
        <f t="shared" si="2"/>
        <v/>
      </c>
      <c r="Z13" s="111" t="str">
        <f t="shared" si="3"/>
        <v/>
      </c>
      <c r="AA13" s="108" t="str">
        <f t="shared" si="3"/>
        <v/>
      </c>
      <c r="AB13" s="216" t="str">
        <f t="shared" si="4"/>
        <v>Fill marks of all Subjects</v>
      </c>
    </row>
    <row r="14" spans="1:28" s="2" customFormat="1" ht="16.899999999999999" customHeight="1" x14ac:dyDescent="0.25">
      <c r="A14" s="123"/>
      <c r="B14" s="124"/>
      <c r="C14" s="437"/>
      <c r="D14" s="116"/>
      <c r="E14" s="438"/>
      <c r="F14" s="116"/>
      <c r="G14" s="125"/>
      <c r="H14" s="437"/>
      <c r="I14" s="125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117" t="str">
        <f t="shared" si="1"/>
        <v/>
      </c>
      <c r="Y14" s="110" t="str">
        <f t="shared" si="2"/>
        <v/>
      </c>
      <c r="Z14" s="111" t="str">
        <f t="shared" si="3"/>
        <v/>
      </c>
      <c r="AA14" s="108" t="str">
        <f t="shared" si="3"/>
        <v/>
      </c>
      <c r="AB14" s="216" t="str">
        <f t="shared" si="4"/>
        <v>Fill marks of all Subjects</v>
      </c>
    </row>
    <row r="15" spans="1:28" s="2" customFormat="1" ht="16.899999999999999" customHeight="1" x14ac:dyDescent="0.25">
      <c r="A15" s="123"/>
      <c r="B15" s="124"/>
      <c r="C15" s="437"/>
      <c r="D15" s="116"/>
      <c r="E15" s="438"/>
      <c r="F15" s="116"/>
      <c r="G15" s="125"/>
      <c r="H15" s="437"/>
      <c r="I15" s="125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117" t="str">
        <f t="shared" si="1"/>
        <v/>
      </c>
      <c r="Y15" s="110" t="str">
        <f t="shared" si="2"/>
        <v/>
      </c>
      <c r="Z15" s="111" t="str">
        <f t="shared" si="3"/>
        <v/>
      </c>
      <c r="AA15" s="108" t="str">
        <f t="shared" si="3"/>
        <v/>
      </c>
      <c r="AB15" s="216" t="str">
        <f t="shared" si="4"/>
        <v>Fill marks of all Subjects</v>
      </c>
    </row>
    <row r="16" spans="1:28" s="2" customFormat="1" ht="16.899999999999999" customHeight="1" x14ac:dyDescent="0.25">
      <c r="A16" s="123"/>
      <c r="B16" s="124"/>
      <c r="C16" s="437"/>
      <c r="D16" s="116"/>
      <c r="E16" s="438"/>
      <c r="F16" s="116"/>
      <c r="G16" s="125"/>
      <c r="H16" s="437"/>
      <c r="I16" s="125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117" t="str">
        <f t="shared" si="1"/>
        <v/>
      </c>
      <c r="Y16" s="110" t="str">
        <f t="shared" si="2"/>
        <v/>
      </c>
      <c r="Z16" s="111" t="str">
        <f t="shared" si="3"/>
        <v/>
      </c>
      <c r="AA16" s="108" t="str">
        <f t="shared" si="3"/>
        <v/>
      </c>
      <c r="AB16" s="216" t="str">
        <f t="shared" si="4"/>
        <v>Fill marks of all Subjects</v>
      </c>
    </row>
    <row r="17" spans="1:28" s="2" customFormat="1" ht="16.899999999999999" customHeight="1" x14ac:dyDescent="0.25">
      <c r="A17" s="123"/>
      <c r="B17" s="124"/>
      <c r="C17" s="437"/>
      <c r="D17" s="116"/>
      <c r="E17" s="438"/>
      <c r="F17" s="116"/>
      <c r="G17" s="125"/>
      <c r="H17" s="437"/>
      <c r="I17" s="125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117" t="str">
        <f t="shared" si="1"/>
        <v/>
      </c>
      <c r="Y17" s="110" t="str">
        <f t="shared" si="2"/>
        <v/>
      </c>
      <c r="Z17" s="111" t="str">
        <f t="shared" si="3"/>
        <v/>
      </c>
      <c r="AA17" s="108" t="str">
        <f t="shared" si="3"/>
        <v/>
      </c>
      <c r="AB17" s="216" t="str">
        <f t="shared" si="4"/>
        <v>Fill marks of all Subjects</v>
      </c>
    </row>
    <row r="18" spans="1:28" s="2" customFormat="1" ht="16.899999999999999" customHeight="1" x14ac:dyDescent="0.25">
      <c r="A18" s="123"/>
      <c r="B18" s="124"/>
      <c r="C18" s="437"/>
      <c r="D18" s="116"/>
      <c r="E18" s="438"/>
      <c r="F18" s="116"/>
      <c r="G18" s="125"/>
      <c r="H18" s="437"/>
      <c r="I18" s="125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117" t="str">
        <f t="shared" si="1"/>
        <v/>
      </c>
      <c r="Y18" s="110" t="str">
        <f t="shared" si="2"/>
        <v/>
      </c>
      <c r="Z18" s="111" t="str">
        <f t="shared" si="3"/>
        <v/>
      </c>
      <c r="AA18" s="108" t="str">
        <f t="shared" si="3"/>
        <v/>
      </c>
      <c r="AB18" s="216" t="str">
        <f t="shared" si="4"/>
        <v>Fill marks of all Subjects</v>
      </c>
    </row>
    <row r="19" spans="1:28" s="2" customFormat="1" ht="16.899999999999999" customHeight="1" x14ac:dyDescent="0.25">
      <c r="A19" s="123"/>
      <c r="B19" s="124"/>
      <c r="C19" s="437"/>
      <c r="D19" s="116"/>
      <c r="E19" s="438"/>
      <c r="F19" s="116"/>
      <c r="G19" s="125"/>
      <c r="H19" s="437"/>
      <c r="I19" s="125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117" t="str">
        <f t="shared" si="1"/>
        <v/>
      </c>
      <c r="Y19" s="110" t="str">
        <f t="shared" si="2"/>
        <v/>
      </c>
      <c r="Z19" s="111" t="str">
        <f t="shared" si="3"/>
        <v/>
      </c>
      <c r="AA19" s="108" t="str">
        <f t="shared" si="3"/>
        <v/>
      </c>
      <c r="AB19" s="216" t="str">
        <f t="shared" si="4"/>
        <v>Fill marks of all Subjects</v>
      </c>
    </row>
    <row r="20" spans="1:28" s="2" customFormat="1" ht="16.899999999999999" customHeight="1" x14ac:dyDescent="0.25">
      <c r="A20" s="123"/>
      <c r="B20" s="124"/>
      <c r="C20" s="437"/>
      <c r="D20" s="116"/>
      <c r="E20" s="438"/>
      <c r="F20" s="116"/>
      <c r="G20" s="125"/>
      <c r="H20" s="437"/>
      <c r="I20" s="125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117" t="str">
        <f t="shared" si="1"/>
        <v/>
      </c>
      <c r="Y20" s="110" t="str">
        <f t="shared" si="2"/>
        <v/>
      </c>
      <c r="Z20" s="111" t="str">
        <f t="shared" si="3"/>
        <v/>
      </c>
      <c r="AA20" s="108" t="str">
        <f t="shared" si="3"/>
        <v/>
      </c>
      <c r="AB20" s="216" t="str">
        <f t="shared" si="4"/>
        <v>Fill marks of all Subjects</v>
      </c>
    </row>
    <row r="21" spans="1:28" s="2" customFormat="1" ht="16.899999999999999" customHeight="1" x14ac:dyDescent="0.25">
      <c r="A21" s="123"/>
      <c r="B21" s="124"/>
      <c r="C21" s="437"/>
      <c r="D21" s="116"/>
      <c r="E21" s="438"/>
      <c r="F21" s="116"/>
      <c r="G21" s="125"/>
      <c r="H21" s="437"/>
      <c r="I21" s="125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117" t="str">
        <f t="shared" si="1"/>
        <v/>
      </c>
      <c r="Y21" s="110" t="str">
        <f t="shared" si="2"/>
        <v/>
      </c>
      <c r="Z21" s="111" t="str">
        <f t="shared" si="3"/>
        <v/>
      </c>
      <c r="AA21" s="108" t="str">
        <f t="shared" si="3"/>
        <v/>
      </c>
      <c r="AB21" s="216" t="str">
        <f t="shared" si="4"/>
        <v>Fill marks of all Subjects</v>
      </c>
    </row>
    <row r="22" spans="1:28" s="2" customFormat="1" ht="16.899999999999999" customHeight="1" x14ac:dyDescent="0.25">
      <c r="A22" s="123"/>
      <c r="B22" s="124"/>
      <c r="C22" s="437"/>
      <c r="D22" s="116"/>
      <c r="E22" s="438"/>
      <c r="F22" s="116"/>
      <c r="G22" s="125"/>
      <c r="H22" s="437"/>
      <c r="I22" s="125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117" t="str">
        <f t="shared" si="1"/>
        <v/>
      </c>
      <c r="Y22" s="110" t="str">
        <f t="shared" si="2"/>
        <v/>
      </c>
      <c r="Z22" s="111" t="str">
        <f t="shared" si="3"/>
        <v/>
      </c>
      <c r="AA22" s="108" t="str">
        <f t="shared" si="3"/>
        <v/>
      </c>
      <c r="AB22" s="216" t="str">
        <f t="shared" si="4"/>
        <v>Fill marks of all Subjects</v>
      </c>
    </row>
    <row r="23" spans="1:28" s="2" customFormat="1" ht="16.899999999999999" customHeight="1" x14ac:dyDescent="0.25">
      <c r="A23" s="123"/>
      <c r="B23" s="124"/>
      <c r="C23" s="437"/>
      <c r="D23" s="116"/>
      <c r="E23" s="438"/>
      <c r="F23" s="116"/>
      <c r="G23" s="125"/>
      <c r="H23" s="437"/>
      <c r="I23" s="125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117" t="str">
        <f t="shared" si="1"/>
        <v/>
      </c>
      <c r="Y23" s="110" t="str">
        <f t="shared" si="2"/>
        <v/>
      </c>
      <c r="Z23" s="111" t="str">
        <f t="shared" si="3"/>
        <v/>
      </c>
      <c r="AA23" s="108" t="str">
        <f t="shared" si="3"/>
        <v/>
      </c>
      <c r="AB23" s="216" t="str">
        <f t="shared" si="4"/>
        <v>Fill marks of all Subjects</v>
      </c>
    </row>
    <row r="24" spans="1:28" s="2" customFormat="1" ht="16.899999999999999" customHeight="1" x14ac:dyDescent="0.25">
      <c r="A24" s="123"/>
      <c r="B24" s="124"/>
      <c r="C24" s="437"/>
      <c r="D24" s="116"/>
      <c r="E24" s="438"/>
      <c r="F24" s="116"/>
      <c r="G24" s="125"/>
      <c r="H24" s="437"/>
      <c r="I24" s="125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117" t="str">
        <f t="shared" si="1"/>
        <v/>
      </c>
      <c r="Y24" s="110" t="str">
        <f t="shared" si="2"/>
        <v/>
      </c>
      <c r="Z24" s="111" t="str">
        <f t="shared" si="3"/>
        <v/>
      </c>
      <c r="AA24" s="108" t="str">
        <f t="shared" si="3"/>
        <v/>
      </c>
      <c r="AB24" s="216" t="str">
        <f t="shared" si="4"/>
        <v>Fill marks of all Subjects</v>
      </c>
    </row>
    <row r="25" spans="1:28" s="2" customFormat="1" ht="16.899999999999999" customHeight="1" x14ac:dyDescent="0.25">
      <c r="A25" s="123"/>
      <c r="B25" s="124"/>
      <c r="C25" s="437"/>
      <c r="D25" s="116"/>
      <c r="E25" s="438"/>
      <c r="F25" s="116"/>
      <c r="G25" s="125"/>
      <c r="H25" s="437"/>
      <c r="I25" s="125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117" t="str">
        <f t="shared" si="1"/>
        <v/>
      </c>
      <c r="Y25" s="110" t="str">
        <f t="shared" si="2"/>
        <v/>
      </c>
      <c r="Z25" s="111" t="str">
        <f t="shared" si="3"/>
        <v/>
      </c>
      <c r="AA25" s="108" t="str">
        <f t="shared" si="3"/>
        <v/>
      </c>
      <c r="AB25" s="216" t="str">
        <f t="shared" si="4"/>
        <v>Fill marks of all Subjects</v>
      </c>
    </row>
    <row r="26" spans="1:28" s="2" customFormat="1" ht="16.899999999999999" customHeight="1" x14ac:dyDescent="0.25">
      <c r="A26" s="123"/>
      <c r="B26" s="124"/>
      <c r="C26" s="437"/>
      <c r="D26" s="116"/>
      <c r="E26" s="438"/>
      <c r="F26" s="116"/>
      <c r="G26" s="125"/>
      <c r="H26" s="437"/>
      <c r="I26" s="125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117" t="str">
        <f t="shared" si="1"/>
        <v/>
      </c>
      <c r="Y26" s="110" t="str">
        <f t="shared" si="2"/>
        <v/>
      </c>
      <c r="Z26" s="111" t="str">
        <f t="shared" si="3"/>
        <v/>
      </c>
      <c r="AA26" s="108" t="str">
        <f t="shared" si="3"/>
        <v/>
      </c>
      <c r="AB26" s="216" t="str">
        <f t="shared" si="4"/>
        <v>Fill marks of all Subjects</v>
      </c>
    </row>
    <row r="27" spans="1:28" s="2" customFormat="1" ht="16.899999999999999" customHeight="1" x14ac:dyDescent="0.25">
      <c r="A27" s="123"/>
      <c r="B27" s="124"/>
      <c r="C27" s="437"/>
      <c r="D27" s="116"/>
      <c r="E27" s="438"/>
      <c r="F27" s="116"/>
      <c r="G27" s="125"/>
      <c r="H27" s="437"/>
      <c r="I27" s="125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117" t="str">
        <f t="shared" si="1"/>
        <v/>
      </c>
      <c r="Y27" s="110" t="str">
        <f t="shared" si="2"/>
        <v/>
      </c>
      <c r="Z27" s="111" t="str">
        <f t="shared" si="3"/>
        <v/>
      </c>
      <c r="AA27" s="108" t="str">
        <f t="shared" si="3"/>
        <v/>
      </c>
      <c r="AB27" s="216" t="str">
        <f t="shared" si="4"/>
        <v>Fill marks of all Subjects</v>
      </c>
    </row>
    <row r="28" spans="1:28" s="2" customFormat="1" ht="16.899999999999999" customHeight="1" x14ac:dyDescent="0.25">
      <c r="A28" s="123"/>
      <c r="B28" s="124"/>
      <c r="C28" s="437"/>
      <c r="D28" s="116"/>
      <c r="E28" s="438"/>
      <c r="F28" s="116"/>
      <c r="G28" s="125"/>
      <c r="H28" s="437"/>
      <c r="I28" s="125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117" t="str">
        <f t="shared" si="1"/>
        <v/>
      </c>
      <c r="Y28" s="110" t="str">
        <f t="shared" si="2"/>
        <v/>
      </c>
      <c r="Z28" s="111" t="str">
        <f t="shared" si="3"/>
        <v/>
      </c>
      <c r="AA28" s="108" t="str">
        <f t="shared" si="3"/>
        <v/>
      </c>
      <c r="AB28" s="216" t="str">
        <f t="shared" si="4"/>
        <v>Fill marks of all Subjects</v>
      </c>
    </row>
    <row r="29" spans="1:28" s="2" customFormat="1" ht="16.899999999999999" customHeight="1" x14ac:dyDescent="0.25">
      <c r="A29" s="123"/>
      <c r="B29" s="124"/>
      <c r="C29" s="437"/>
      <c r="D29" s="116"/>
      <c r="E29" s="438"/>
      <c r="F29" s="116"/>
      <c r="G29" s="125"/>
      <c r="H29" s="437"/>
      <c r="I29" s="125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117" t="str">
        <f t="shared" si="1"/>
        <v/>
      </c>
      <c r="Y29" s="110" t="str">
        <f t="shared" si="2"/>
        <v/>
      </c>
      <c r="Z29" s="111" t="str">
        <f t="shared" si="3"/>
        <v/>
      </c>
      <c r="AA29" s="108" t="str">
        <f t="shared" si="3"/>
        <v/>
      </c>
      <c r="AB29" s="216" t="str">
        <f t="shared" si="4"/>
        <v>Fill marks of all Subjects</v>
      </c>
    </row>
    <row r="30" spans="1:28" s="2" customFormat="1" ht="16.899999999999999" customHeight="1" x14ac:dyDescent="0.25">
      <c r="A30" s="123"/>
      <c r="B30" s="124"/>
      <c r="C30" s="437"/>
      <c r="D30" s="116"/>
      <c r="E30" s="438"/>
      <c r="F30" s="116"/>
      <c r="G30" s="125"/>
      <c r="H30" s="437"/>
      <c r="I30" s="125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117" t="str">
        <f t="shared" si="1"/>
        <v/>
      </c>
      <c r="Y30" s="110" t="str">
        <f t="shared" si="2"/>
        <v/>
      </c>
      <c r="Z30" s="111" t="str">
        <f t="shared" si="3"/>
        <v/>
      </c>
      <c r="AA30" s="108" t="str">
        <f t="shared" si="3"/>
        <v/>
      </c>
      <c r="AB30" s="216" t="str">
        <f t="shared" si="4"/>
        <v>Fill marks of all Subjects</v>
      </c>
    </row>
    <row r="31" spans="1:28" s="2" customFormat="1" ht="16.899999999999999" customHeight="1" x14ac:dyDescent="0.25">
      <c r="A31" s="123"/>
      <c r="B31" s="124"/>
      <c r="C31" s="437"/>
      <c r="D31" s="116"/>
      <c r="E31" s="438"/>
      <c r="F31" s="116"/>
      <c r="G31" s="125"/>
      <c r="H31" s="437"/>
      <c r="I31" s="125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117" t="str">
        <f t="shared" si="1"/>
        <v/>
      </c>
      <c r="Y31" s="110" t="str">
        <f t="shared" si="2"/>
        <v/>
      </c>
      <c r="Z31" s="111" t="str">
        <f t="shared" si="3"/>
        <v/>
      </c>
      <c r="AA31" s="108" t="str">
        <f t="shared" si="3"/>
        <v/>
      </c>
      <c r="AB31" s="216" t="str">
        <f t="shared" si="4"/>
        <v>Fill marks of all Subjects</v>
      </c>
    </row>
    <row r="32" spans="1:28" s="2" customFormat="1" ht="16.899999999999999" customHeight="1" x14ac:dyDescent="0.25">
      <c r="A32" s="123"/>
      <c r="B32" s="124"/>
      <c r="C32" s="437"/>
      <c r="D32" s="116"/>
      <c r="E32" s="438"/>
      <c r="F32" s="116"/>
      <c r="G32" s="125"/>
      <c r="H32" s="437"/>
      <c r="I32" s="125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117" t="str">
        <f t="shared" si="1"/>
        <v/>
      </c>
      <c r="Y32" s="110" t="str">
        <f t="shared" si="2"/>
        <v/>
      </c>
      <c r="Z32" s="111" t="str">
        <f t="shared" si="3"/>
        <v/>
      </c>
      <c r="AA32" s="108" t="str">
        <f t="shared" si="3"/>
        <v/>
      </c>
      <c r="AB32" s="216" t="str">
        <f t="shared" si="4"/>
        <v>Fill marks of all Subjects</v>
      </c>
    </row>
    <row r="33" spans="1:28" s="2" customFormat="1" ht="16.899999999999999" customHeight="1" x14ac:dyDescent="0.25">
      <c r="A33" s="123"/>
      <c r="B33" s="124"/>
      <c r="C33" s="437"/>
      <c r="D33" s="116"/>
      <c r="E33" s="438"/>
      <c r="F33" s="116"/>
      <c r="G33" s="125"/>
      <c r="H33" s="437"/>
      <c r="I33" s="125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117" t="str">
        <f t="shared" si="1"/>
        <v/>
      </c>
      <c r="Y33" s="110" t="str">
        <f t="shared" si="2"/>
        <v/>
      </c>
      <c r="Z33" s="111" t="str">
        <f t="shared" si="3"/>
        <v/>
      </c>
      <c r="AA33" s="108" t="str">
        <f t="shared" si="3"/>
        <v/>
      </c>
      <c r="AB33" s="216" t="str">
        <f t="shared" si="4"/>
        <v>Fill marks of all Subjects</v>
      </c>
    </row>
    <row r="34" spans="1:28" s="2" customFormat="1" ht="16.899999999999999" customHeight="1" x14ac:dyDescent="0.25">
      <c r="A34" s="123"/>
      <c r="B34" s="124"/>
      <c r="C34" s="437"/>
      <c r="D34" s="116"/>
      <c r="E34" s="438"/>
      <c r="F34" s="116"/>
      <c r="G34" s="125"/>
      <c r="H34" s="437"/>
      <c r="I34" s="125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117" t="str">
        <f t="shared" si="1"/>
        <v/>
      </c>
      <c r="Y34" s="110" t="str">
        <f t="shared" si="2"/>
        <v/>
      </c>
      <c r="Z34" s="111" t="str">
        <f t="shared" si="3"/>
        <v/>
      </c>
      <c r="AA34" s="108" t="str">
        <f t="shared" si="3"/>
        <v/>
      </c>
      <c r="AB34" s="216" t="str">
        <f t="shared" si="4"/>
        <v>Fill marks of all Subjects</v>
      </c>
    </row>
    <row r="35" spans="1:28" s="2" customFormat="1" ht="16.899999999999999" customHeight="1" x14ac:dyDescent="0.25">
      <c r="A35" s="123"/>
      <c r="B35" s="124"/>
      <c r="C35" s="437"/>
      <c r="D35" s="116"/>
      <c r="E35" s="438"/>
      <c r="F35" s="116"/>
      <c r="G35" s="125"/>
      <c r="H35" s="437"/>
      <c r="I35" s="125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117" t="str">
        <f t="shared" si="1"/>
        <v/>
      </c>
      <c r="Y35" s="110" t="str">
        <f t="shared" si="2"/>
        <v/>
      </c>
      <c r="Z35" s="111" t="str">
        <f>IF(ISNUMBER(Y35),RANK(X35,$X$35:$X$56,0),"")</f>
        <v/>
      </c>
      <c r="AA35" s="108" t="str">
        <f>IF(ISNUMBER(Z35),RANK(Y35,$X$35:$X$56,0),"")</f>
        <v/>
      </c>
      <c r="AB35" s="216" t="str">
        <f t="shared" si="4"/>
        <v>Fill marks of all Subjects</v>
      </c>
    </row>
    <row r="36" spans="1:28" s="2" customFormat="1" ht="16.899999999999999" customHeight="1" x14ac:dyDescent="0.25">
      <c r="A36" s="123"/>
      <c r="B36" s="124"/>
      <c r="C36" s="437"/>
      <c r="D36" s="116"/>
      <c r="E36" s="438"/>
      <c r="F36" s="116"/>
      <c r="G36" s="125"/>
      <c r="H36" s="437"/>
      <c r="I36" s="125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117" t="str">
        <f t="shared" si="1"/>
        <v/>
      </c>
      <c r="Y36" s="110" t="str">
        <f t="shared" si="2"/>
        <v/>
      </c>
      <c r="Z36" s="111" t="str">
        <f t="shared" ref="Z36:AA56" si="5">IF(ISNUMBER(Y36),RANK(X36,$X$35:$X$56,0),"")</f>
        <v/>
      </c>
      <c r="AA36" s="108" t="str">
        <f t="shared" si="5"/>
        <v/>
      </c>
      <c r="AB36" s="216" t="str">
        <f t="shared" si="4"/>
        <v>Fill marks of all Subjects</v>
      </c>
    </row>
    <row r="37" spans="1:28" s="2" customFormat="1" ht="16.899999999999999" customHeight="1" x14ac:dyDescent="0.25">
      <c r="A37" s="123"/>
      <c r="B37" s="124"/>
      <c r="C37" s="437"/>
      <c r="D37" s="116"/>
      <c r="E37" s="438"/>
      <c r="F37" s="116"/>
      <c r="G37" s="125"/>
      <c r="H37" s="437"/>
      <c r="I37" s="125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117" t="str">
        <f t="shared" si="1"/>
        <v/>
      </c>
      <c r="Y37" s="110" t="str">
        <f t="shared" si="2"/>
        <v/>
      </c>
      <c r="Z37" s="111" t="str">
        <f t="shared" si="5"/>
        <v/>
      </c>
      <c r="AA37" s="108" t="str">
        <f t="shared" si="5"/>
        <v/>
      </c>
      <c r="AB37" s="216" t="str">
        <f t="shared" si="4"/>
        <v>Fill marks of all Subjects</v>
      </c>
    </row>
    <row r="38" spans="1:28" s="2" customFormat="1" ht="16.899999999999999" customHeight="1" x14ac:dyDescent="0.25">
      <c r="A38" s="123"/>
      <c r="B38" s="124"/>
      <c r="C38" s="437"/>
      <c r="D38" s="116"/>
      <c r="E38" s="438"/>
      <c r="F38" s="116"/>
      <c r="G38" s="125"/>
      <c r="H38" s="437"/>
      <c r="I38" s="125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117" t="str">
        <f t="shared" si="1"/>
        <v/>
      </c>
      <c r="Y38" s="110" t="str">
        <f t="shared" si="2"/>
        <v/>
      </c>
      <c r="Z38" s="111" t="str">
        <f t="shared" si="5"/>
        <v/>
      </c>
      <c r="AA38" s="108" t="str">
        <f t="shared" si="5"/>
        <v/>
      </c>
      <c r="AB38" s="216" t="str">
        <f t="shared" si="4"/>
        <v>Fill marks of all Subjects</v>
      </c>
    </row>
    <row r="39" spans="1:28" s="2" customFormat="1" ht="16.899999999999999" customHeight="1" x14ac:dyDescent="0.25">
      <c r="A39" s="123"/>
      <c r="B39" s="124"/>
      <c r="C39" s="437"/>
      <c r="D39" s="116"/>
      <c r="E39" s="438"/>
      <c r="F39" s="116"/>
      <c r="G39" s="125"/>
      <c r="H39" s="437"/>
      <c r="I39" s="125"/>
      <c r="J39" s="441"/>
      <c r="K39" s="441"/>
      <c r="L39" s="441"/>
      <c r="M39" s="104"/>
      <c r="N39" s="104"/>
      <c r="O39" s="104"/>
      <c r="P39" s="441"/>
      <c r="Q39" s="441"/>
      <c r="R39" s="441"/>
      <c r="S39" s="104"/>
      <c r="T39" s="441"/>
      <c r="U39" s="441"/>
      <c r="V39" s="441"/>
      <c r="W39" s="441"/>
      <c r="X39" s="117" t="str">
        <f t="shared" si="1"/>
        <v/>
      </c>
      <c r="Y39" s="110" t="str">
        <f t="shared" si="2"/>
        <v/>
      </c>
      <c r="Z39" s="111" t="str">
        <f t="shared" si="5"/>
        <v/>
      </c>
      <c r="AA39" s="108" t="str">
        <f t="shared" si="5"/>
        <v/>
      </c>
      <c r="AB39" s="216" t="str">
        <f t="shared" si="4"/>
        <v>Fill marks of all Subjects</v>
      </c>
    </row>
    <row r="40" spans="1:28" s="2" customFormat="1" ht="16.899999999999999" customHeight="1" x14ac:dyDescent="0.25">
      <c r="A40" s="123"/>
      <c r="B40" s="124"/>
      <c r="C40" s="437"/>
      <c r="D40" s="116"/>
      <c r="E40" s="438"/>
      <c r="F40" s="116"/>
      <c r="G40" s="125"/>
      <c r="H40" s="437"/>
      <c r="I40" s="125"/>
      <c r="J40" s="441"/>
      <c r="K40" s="441"/>
      <c r="L40" s="441"/>
      <c r="M40" s="104"/>
      <c r="N40" s="104"/>
      <c r="O40" s="104"/>
      <c r="P40" s="441"/>
      <c r="Q40" s="441"/>
      <c r="R40" s="441"/>
      <c r="S40" s="104"/>
      <c r="T40" s="441"/>
      <c r="U40" s="441"/>
      <c r="V40" s="441"/>
      <c r="W40" s="441"/>
      <c r="X40" s="117" t="str">
        <f t="shared" si="1"/>
        <v/>
      </c>
      <c r="Y40" s="110" t="str">
        <f t="shared" si="2"/>
        <v/>
      </c>
      <c r="Z40" s="111" t="str">
        <f t="shared" si="5"/>
        <v/>
      </c>
      <c r="AA40" s="108" t="str">
        <f t="shared" si="5"/>
        <v/>
      </c>
      <c r="AB40" s="216" t="str">
        <f t="shared" si="4"/>
        <v>Fill marks of all Subjects</v>
      </c>
    </row>
    <row r="41" spans="1:28" s="2" customFormat="1" ht="16.899999999999999" customHeight="1" x14ac:dyDescent="0.25">
      <c r="A41" s="123"/>
      <c r="B41" s="124"/>
      <c r="C41" s="437"/>
      <c r="D41" s="116"/>
      <c r="E41" s="438"/>
      <c r="F41" s="108"/>
      <c r="G41" s="125"/>
      <c r="H41" s="437"/>
      <c r="I41" s="125"/>
      <c r="J41" s="441"/>
      <c r="K41" s="441"/>
      <c r="L41" s="441"/>
      <c r="M41" s="104"/>
      <c r="N41" s="104"/>
      <c r="O41" s="104"/>
      <c r="P41" s="441"/>
      <c r="Q41" s="441"/>
      <c r="R41" s="441"/>
      <c r="S41" s="104"/>
      <c r="T41" s="441"/>
      <c r="U41" s="441"/>
      <c r="V41" s="441"/>
      <c r="W41" s="441"/>
      <c r="X41" s="117" t="str">
        <f t="shared" si="1"/>
        <v/>
      </c>
      <c r="Y41" s="110" t="str">
        <f t="shared" si="2"/>
        <v/>
      </c>
      <c r="Z41" s="111" t="str">
        <f t="shared" si="5"/>
        <v/>
      </c>
      <c r="AA41" s="108" t="str">
        <f t="shared" si="5"/>
        <v/>
      </c>
      <c r="AB41" s="216" t="str">
        <f t="shared" si="4"/>
        <v>Fill marks of all Subjects</v>
      </c>
    </row>
    <row r="42" spans="1:28" s="2" customFormat="1" ht="16.899999999999999" customHeight="1" x14ac:dyDescent="0.25">
      <c r="A42" s="123"/>
      <c r="B42" s="124"/>
      <c r="C42" s="437"/>
      <c r="D42" s="116"/>
      <c r="E42" s="438"/>
      <c r="F42" s="108"/>
      <c r="G42" s="125"/>
      <c r="H42" s="437"/>
      <c r="I42" s="125"/>
      <c r="J42" s="441"/>
      <c r="K42" s="441"/>
      <c r="L42" s="441"/>
      <c r="M42" s="104"/>
      <c r="N42" s="104"/>
      <c r="O42" s="104"/>
      <c r="P42" s="441"/>
      <c r="Q42" s="441"/>
      <c r="R42" s="441"/>
      <c r="S42" s="104"/>
      <c r="T42" s="441"/>
      <c r="U42" s="441"/>
      <c r="V42" s="441"/>
      <c r="W42" s="441"/>
      <c r="X42" s="117" t="str">
        <f t="shared" si="1"/>
        <v/>
      </c>
      <c r="Y42" s="110" t="str">
        <f t="shared" si="2"/>
        <v/>
      </c>
      <c r="Z42" s="111" t="str">
        <f t="shared" si="5"/>
        <v/>
      </c>
      <c r="AA42" s="108" t="str">
        <f t="shared" si="5"/>
        <v/>
      </c>
      <c r="AB42" s="216" t="str">
        <f t="shared" si="4"/>
        <v>Fill marks of all Subjects</v>
      </c>
    </row>
    <row r="43" spans="1:28" s="2" customFormat="1" ht="16.899999999999999" customHeight="1" x14ac:dyDescent="0.25">
      <c r="A43" s="123"/>
      <c r="B43" s="124"/>
      <c r="C43" s="437"/>
      <c r="D43" s="116"/>
      <c r="E43" s="438"/>
      <c r="F43" s="108"/>
      <c r="G43" s="125"/>
      <c r="H43" s="437"/>
      <c r="I43" s="125"/>
      <c r="J43" s="441"/>
      <c r="K43" s="441"/>
      <c r="L43" s="441"/>
      <c r="M43" s="104"/>
      <c r="N43" s="104"/>
      <c r="O43" s="104"/>
      <c r="P43" s="441"/>
      <c r="Q43" s="441"/>
      <c r="R43" s="441"/>
      <c r="S43" s="104"/>
      <c r="T43" s="441"/>
      <c r="U43" s="441"/>
      <c r="V43" s="441"/>
      <c r="W43" s="441"/>
      <c r="X43" s="117" t="str">
        <f t="shared" si="1"/>
        <v/>
      </c>
      <c r="Y43" s="110" t="str">
        <f t="shared" si="2"/>
        <v/>
      </c>
      <c r="Z43" s="111" t="str">
        <f t="shared" si="5"/>
        <v/>
      </c>
      <c r="AA43" s="108" t="str">
        <f t="shared" si="5"/>
        <v/>
      </c>
      <c r="AB43" s="216" t="str">
        <f t="shared" si="4"/>
        <v>Fill marks of all Subjects</v>
      </c>
    </row>
    <row r="44" spans="1:28" s="2" customFormat="1" ht="16.899999999999999" customHeight="1" x14ac:dyDescent="0.25">
      <c r="A44" s="123"/>
      <c r="B44" s="124"/>
      <c r="C44" s="437"/>
      <c r="D44" s="116"/>
      <c r="E44" s="438"/>
      <c r="F44" s="108"/>
      <c r="G44" s="125"/>
      <c r="H44" s="437"/>
      <c r="I44" s="125"/>
      <c r="J44" s="441"/>
      <c r="K44" s="441"/>
      <c r="L44" s="441"/>
      <c r="M44" s="104"/>
      <c r="N44" s="104"/>
      <c r="O44" s="104"/>
      <c r="P44" s="441"/>
      <c r="Q44" s="441"/>
      <c r="R44" s="441"/>
      <c r="S44" s="104"/>
      <c r="T44" s="441"/>
      <c r="U44" s="441"/>
      <c r="V44" s="441"/>
      <c r="W44" s="441"/>
      <c r="X44" s="117" t="str">
        <f t="shared" si="1"/>
        <v/>
      </c>
      <c r="Y44" s="110" t="str">
        <f t="shared" si="2"/>
        <v/>
      </c>
      <c r="Z44" s="111" t="str">
        <f t="shared" si="5"/>
        <v/>
      </c>
      <c r="AA44" s="108" t="str">
        <f t="shared" si="5"/>
        <v/>
      </c>
      <c r="AB44" s="216" t="str">
        <f t="shared" si="4"/>
        <v>Fill marks of all Subjects</v>
      </c>
    </row>
    <row r="45" spans="1:28" s="2" customFormat="1" ht="16.899999999999999" customHeight="1" x14ac:dyDescent="0.25">
      <c r="A45" s="123"/>
      <c r="B45" s="124"/>
      <c r="C45" s="437"/>
      <c r="D45" s="116"/>
      <c r="E45" s="438"/>
      <c r="F45" s="108"/>
      <c r="G45" s="125"/>
      <c r="H45" s="437"/>
      <c r="I45" s="125"/>
      <c r="J45" s="441"/>
      <c r="K45" s="441"/>
      <c r="L45" s="441"/>
      <c r="M45" s="104"/>
      <c r="N45" s="104"/>
      <c r="O45" s="104"/>
      <c r="P45" s="441"/>
      <c r="Q45" s="441"/>
      <c r="R45" s="441"/>
      <c r="S45" s="104"/>
      <c r="T45" s="441"/>
      <c r="U45" s="441"/>
      <c r="V45" s="441"/>
      <c r="W45" s="441"/>
      <c r="X45" s="117" t="str">
        <f t="shared" si="1"/>
        <v/>
      </c>
      <c r="Y45" s="110" t="str">
        <f t="shared" si="2"/>
        <v/>
      </c>
      <c r="Z45" s="111" t="str">
        <f t="shared" si="5"/>
        <v/>
      </c>
      <c r="AA45" s="108" t="str">
        <f t="shared" si="5"/>
        <v/>
      </c>
      <c r="AB45" s="216" t="str">
        <f t="shared" si="4"/>
        <v>Fill marks of all Subjects</v>
      </c>
    </row>
    <row r="46" spans="1:28" s="2" customFormat="1" ht="16.899999999999999" customHeight="1" x14ac:dyDescent="0.25">
      <c r="A46" s="123"/>
      <c r="B46" s="124"/>
      <c r="C46" s="437"/>
      <c r="D46" s="116"/>
      <c r="E46" s="438"/>
      <c r="F46" s="108"/>
      <c r="G46" s="125"/>
      <c r="H46" s="437"/>
      <c r="I46" s="125"/>
      <c r="J46" s="441"/>
      <c r="K46" s="441"/>
      <c r="L46" s="441"/>
      <c r="M46" s="104"/>
      <c r="N46" s="104"/>
      <c r="O46" s="104"/>
      <c r="P46" s="441"/>
      <c r="Q46" s="441"/>
      <c r="R46" s="441"/>
      <c r="S46" s="104"/>
      <c r="T46" s="441"/>
      <c r="U46" s="441"/>
      <c r="V46" s="441"/>
      <c r="W46" s="441"/>
      <c r="X46" s="117" t="str">
        <f t="shared" si="1"/>
        <v/>
      </c>
      <c r="Y46" s="110" t="str">
        <f t="shared" si="2"/>
        <v/>
      </c>
      <c r="Z46" s="111" t="str">
        <f t="shared" si="5"/>
        <v/>
      </c>
      <c r="AA46" s="108" t="str">
        <f t="shared" si="5"/>
        <v/>
      </c>
      <c r="AB46" s="216" t="str">
        <f t="shared" si="4"/>
        <v>Fill marks of all Subjects</v>
      </c>
    </row>
    <row r="47" spans="1:28" s="2" customFormat="1" ht="16.899999999999999" customHeight="1" x14ac:dyDescent="0.25">
      <c r="A47" s="123"/>
      <c r="B47" s="124"/>
      <c r="C47" s="437"/>
      <c r="D47" s="116"/>
      <c r="E47" s="438"/>
      <c r="F47" s="108"/>
      <c r="G47" s="125"/>
      <c r="H47" s="437"/>
      <c r="I47" s="125"/>
      <c r="J47" s="441"/>
      <c r="K47" s="441"/>
      <c r="L47" s="441"/>
      <c r="M47" s="104"/>
      <c r="N47" s="104"/>
      <c r="O47" s="104"/>
      <c r="P47" s="441"/>
      <c r="Q47" s="441"/>
      <c r="R47" s="441"/>
      <c r="S47" s="104"/>
      <c r="T47" s="441"/>
      <c r="U47" s="441"/>
      <c r="V47" s="441"/>
      <c r="W47" s="441"/>
      <c r="X47" s="117" t="str">
        <f t="shared" si="1"/>
        <v/>
      </c>
      <c r="Y47" s="110" t="str">
        <f t="shared" si="2"/>
        <v/>
      </c>
      <c r="Z47" s="111" t="str">
        <f t="shared" si="5"/>
        <v/>
      </c>
      <c r="AA47" s="108" t="str">
        <f t="shared" si="5"/>
        <v/>
      </c>
      <c r="AB47" s="216" t="str">
        <f t="shared" si="4"/>
        <v>Fill marks of all Subjects</v>
      </c>
    </row>
    <row r="48" spans="1:28" s="2" customFormat="1" ht="16.899999999999999" customHeight="1" x14ac:dyDescent="0.25">
      <c r="A48" s="123"/>
      <c r="B48" s="124"/>
      <c r="C48" s="437"/>
      <c r="D48" s="116"/>
      <c r="E48" s="438"/>
      <c r="F48" s="108"/>
      <c r="G48" s="125"/>
      <c r="H48" s="437"/>
      <c r="I48" s="125"/>
      <c r="J48" s="441"/>
      <c r="K48" s="441"/>
      <c r="L48" s="441"/>
      <c r="M48" s="104"/>
      <c r="N48" s="104"/>
      <c r="O48" s="104"/>
      <c r="P48" s="441"/>
      <c r="Q48" s="441"/>
      <c r="R48" s="441"/>
      <c r="S48" s="104"/>
      <c r="T48" s="441"/>
      <c r="U48" s="441"/>
      <c r="V48" s="441"/>
      <c r="W48" s="441"/>
      <c r="X48" s="117" t="str">
        <f t="shared" si="1"/>
        <v/>
      </c>
      <c r="Y48" s="110" t="str">
        <f t="shared" si="2"/>
        <v/>
      </c>
      <c r="Z48" s="111" t="str">
        <f t="shared" si="5"/>
        <v/>
      </c>
      <c r="AA48" s="108" t="str">
        <f t="shared" si="5"/>
        <v/>
      </c>
      <c r="AB48" s="216" t="str">
        <f t="shared" si="4"/>
        <v>Fill marks of all Subjects</v>
      </c>
    </row>
    <row r="49" spans="1:28" s="2" customFormat="1" ht="16.899999999999999" customHeight="1" x14ac:dyDescent="0.25">
      <c r="A49" s="123"/>
      <c r="B49" s="124"/>
      <c r="C49" s="437"/>
      <c r="D49" s="116"/>
      <c r="E49" s="438"/>
      <c r="F49" s="108"/>
      <c r="G49" s="125"/>
      <c r="H49" s="437"/>
      <c r="I49" s="125"/>
      <c r="J49" s="441"/>
      <c r="K49" s="441"/>
      <c r="L49" s="441"/>
      <c r="M49" s="104"/>
      <c r="N49" s="104"/>
      <c r="O49" s="104"/>
      <c r="P49" s="441"/>
      <c r="Q49" s="441"/>
      <c r="R49" s="441"/>
      <c r="S49" s="104"/>
      <c r="T49" s="441"/>
      <c r="U49" s="441"/>
      <c r="V49" s="441"/>
      <c r="W49" s="441"/>
      <c r="X49" s="117" t="str">
        <f t="shared" si="1"/>
        <v/>
      </c>
      <c r="Y49" s="110" t="str">
        <f t="shared" si="2"/>
        <v/>
      </c>
      <c r="Z49" s="111" t="str">
        <f t="shared" si="5"/>
        <v/>
      </c>
      <c r="AA49" s="108" t="str">
        <f t="shared" si="5"/>
        <v/>
      </c>
      <c r="AB49" s="216" t="str">
        <f t="shared" si="4"/>
        <v>Fill marks of all Subjects</v>
      </c>
    </row>
    <row r="50" spans="1:28" s="2" customFormat="1" ht="16.899999999999999" customHeight="1" x14ac:dyDescent="0.25">
      <c r="A50" s="123"/>
      <c r="B50" s="124"/>
      <c r="C50" s="437"/>
      <c r="D50" s="116"/>
      <c r="E50" s="438"/>
      <c r="F50" s="108"/>
      <c r="G50" s="125"/>
      <c r="H50" s="437"/>
      <c r="I50" s="125"/>
      <c r="J50" s="441"/>
      <c r="K50" s="441"/>
      <c r="L50" s="441"/>
      <c r="M50" s="104"/>
      <c r="N50" s="104"/>
      <c r="O50" s="104"/>
      <c r="P50" s="441"/>
      <c r="Q50" s="441"/>
      <c r="R50" s="441"/>
      <c r="S50" s="104"/>
      <c r="T50" s="441"/>
      <c r="U50" s="441"/>
      <c r="V50" s="441"/>
      <c r="W50" s="441"/>
      <c r="X50" s="117" t="str">
        <f t="shared" si="1"/>
        <v/>
      </c>
      <c r="Y50" s="110" t="str">
        <f t="shared" si="2"/>
        <v/>
      </c>
      <c r="Z50" s="111" t="str">
        <f t="shared" si="5"/>
        <v/>
      </c>
      <c r="AA50" s="108" t="str">
        <f t="shared" si="5"/>
        <v/>
      </c>
      <c r="AB50" s="216" t="str">
        <f t="shared" si="4"/>
        <v>Fill marks of all Subjects</v>
      </c>
    </row>
    <row r="51" spans="1:28" s="2" customFormat="1" ht="16.899999999999999" customHeight="1" x14ac:dyDescent="0.25">
      <c r="A51" s="123"/>
      <c r="B51" s="124"/>
      <c r="C51" s="437"/>
      <c r="D51" s="116"/>
      <c r="E51" s="438"/>
      <c r="F51" s="108"/>
      <c r="G51" s="125"/>
      <c r="H51" s="437"/>
      <c r="I51" s="125"/>
      <c r="J51" s="441"/>
      <c r="K51" s="441"/>
      <c r="L51" s="441"/>
      <c r="M51" s="104"/>
      <c r="N51" s="104"/>
      <c r="O51" s="104"/>
      <c r="P51" s="441"/>
      <c r="Q51" s="441"/>
      <c r="R51" s="441"/>
      <c r="S51" s="104"/>
      <c r="T51" s="441"/>
      <c r="U51" s="441"/>
      <c r="V51" s="441"/>
      <c r="W51" s="441"/>
      <c r="X51" s="117" t="str">
        <f t="shared" si="1"/>
        <v/>
      </c>
      <c r="Y51" s="110" t="str">
        <f t="shared" si="2"/>
        <v/>
      </c>
      <c r="Z51" s="111" t="str">
        <f t="shared" si="5"/>
        <v/>
      </c>
      <c r="AA51" s="108" t="str">
        <f t="shared" si="5"/>
        <v/>
      </c>
      <c r="AB51" s="216" t="str">
        <f t="shared" si="4"/>
        <v>Fill marks of all Subjects</v>
      </c>
    </row>
    <row r="52" spans="1:28" s="2" customFormat="1" ht="16.899999999999999" customHeight="1" x14ac:dyDescent="0.25">
      <c r="A52" s="123"/>
      <c r="B52" s="124"/>
      <c r="C52" s="437"/>
      <c r="D52" s="116"/>
      <c r="E52" s="438"/>
      <c r="F52" s="108"/>
      <c r="G52" s="125"/>
      <c r="H52" s="437"/>
      <c r="I52" s="125"/>
      <c r="J52" s="441"/>
      <c r="K52" s="441"/>
      <c r="L52" s="441"/>
      <c r="M52" s="104"/>
      <c r="N52" s="104"/>
      <c r="O52" s="104"/>
      <c r="P52" s="441"/>
      <c r="Q52" s="441"/>
      <c r="R52" s="441"/>
      <c r="S52" s="104"/>
      <c r="T52" s="441"/>
      <c r="U52" s="441"/>
      <c r="V52" s="441"/>
      <c r="W52" s="441"/>
      <c r="X52" s="117" t="str">
        <f t="shared" si="1"/>
        <v/>
      </c>
      <c r="Y52" s="110" t="str">
        <f t="shared" si="2"/>
        <v/>
      </c>
      <c r="Z52" s="111" t="str">
        <f t="shared" si="5"/>
        <v/>
      </c>
      <c r="AA52" s="108" t="str">
        <f t="shared" si="5"/>
        <v/>
      </c>
      <c r="AB52" s="216" t="str">
        <f t="shared" si="4"/>
        <v>Fill marks of all Subjects</v>
      </c>
    </row>
    <row r="53" spans="1:28" s="2" customFormat="1" ht="16.899999999999999" customHeight="1" x14ac:dyDescent="0.25">
      <c r="A53" s="123"/>
      <c r="B53" s="124"/>
      <c r="C53" s="437"/>
      <c r="D53" s="116"/>
      <c r="E53" s="438"/>
      <c r="F53" s="108"/>
      <c r="G53" s="125"/>
      <c r="H53" s="437"/>
      <c r="I53" s="125"/>
      <c r="J53" s="441"/>
      <c r="K53" s="441"/>
      <c r="L53" s="441"/>
      <c r="M53" s="104"/>
      <c r="N53" s="104"/>
      <c r="O53" s="104"/>
      <c r="P53" s="441"/>
      <c r="Q53" s="441"/>
      <c r="R53" s="441"/>
      <c r="S53" s="104"/>
      <c r="T53" s="441"/>
      <c r="U53" s="441"/>
      <c r="V53" s="441"/>
      <c r="W53" s="441"/>
      <c r="X53" s="117" t="str">
        <f t="shared" si="1"/>
        <v/>
      </c>
      <c r="Y53" s="110" t="str">
        <f t="shared" si="2"/>
        <v/>
      </c>
      <c r="Z53" s="111" t="str">
        <f t="shared" si="5"/>
        <v/>
      </c>
      <c r="AA53" s="108" t="str">
        <f t="shared" si="5"/>
        <v/>
      </c>
      <c r="AB53" s="216" t="str">
        <f t="shared" si="4"/>
        <v>Fill marks of all Subjects</v>
      </c>
    </row>
    <row r="54" spans="1:28" s="2" customFormat="1" ht="16.899999999999999" customHeight="1" x14ac:dyDescent="0.25">
      <c r="A54" s="123"/>
      <c r="B54" s="124"/>
      <c r="C54" s="437"/>
      <c r="D54" s="116"/>
      <c r="E54" s="438"/>
      <c r="F54" s="108"/>
      <c r="G54" s="125"/>
      <c r="H54" s="437"/>
      <c r="I54" s="125"/>
      <c r="J54" s="441"/>
      <c r="K54" s="441"/>
      <c r="L54" s="441"/>
      <c r="M54" s="104"/>
      <c r="N54" s="104"/>
      <c r="O54" s="104"/>
      <c r="P54" s="441"/>
      <c r="Q54" s="441"/>
      <c r="R54" s="441"/>
      <c r="S54" s="104"/>
      <c r="T54" s="441"/>
      <c r="U54" s="441"/>
      <c r="V54" s="441"/>
      <c r="W54" s="441"/>
      <c r="X54" s="117" t="str">
        <f t="shared" si="1"/>
        <v/>
      </c>
      <c r="Y54" s="110" t="str">
        <f t="shared" si="2"/>
        <v/>
      </c>
      <c r="Z54" s="111" t="str">
        <f t="shared" si="5"/>
        <v/>
      </c>
      <c r="AA54" s="108" t="str">
        <f t="shared" si="5"/>
        <v/>
      </c>
      <c r="AB54" s="216" t="str">
        <f t="shared" si="4"/>
        <v>Fill marks of all Subjects</v>
      </c>
    </row>
    <row r="55" spans="1:28" s="2" customFormat="1" ht="16.899999999999999" customHeight="1" x14ac:dyDescent="0.25">
      <c r="A55" s="123"/>
      <c r="B55" s="124"/>
      <c r="C55" s="437"/>
      <c r="D55" s="116"/>
      <c r="E55" s="438"/>
      <c r="F55" s="108"/>
      <c r="G55" s="125"/>
      <c r="H55" s="437"/>
      <c r="I55" s="125"/>
      <c r="J55" s="441"/>
      <c r="K55" s="441"/>
      <c r="L55" s="441"/>
      <c r="M55" s="104"/>
      <c r="N55" s="104"/>
      <c r="O55" s="104"/>
      <c r="P55" s="441"/>
      <c r="Q55" s="441"/>
      <c r="R55" s="441"/>
      <c r="S55" s="104"/>
      <c r="T55" s="441"/>
      <c r="U55" s="441"/>
      <c r="V55" s="441"/>
      <c r="W55" s="441"/>
      <c r="X55" s="117" t="str">
        <f t="shared" si="1"/>
        <v/>
      </c>
      <c r="Y55" s="110" t="str">
        <f t="shared" si="2"/>
        <v/>
      </c>
      <c r="Z55" s="111" t="str">
        <f t="shared" si="5"/>
        <v/>
      </c>
      <c r="AA55" s="108" t="str">
        <f t="shared" si="5"/>
        <v/>
      </c>
      <c r="AB55" s="216" t="str">
        <f t="shared" si="4"/>
        <v>Fill marks of all Subjects</v>
      </c>
    </row>
    <row r="56" spans="1:28" s="2" customFormat="1" ht="16.899999999999999" customHeight="1" x14ac:dyDescent="0.25">
      <c r="A56" s="123"/>
      <c r="B56" s="124"/>
      <c r="C56" s="437"/>
      <c r="D56" s="116"/>
      <c r="E56" s="438"/>
      <c r="F56" s="108"/>
      <c r="G56" s="125"/>
      <c r="H56" s="437"/>
      <c r="I56" s="125"/>
      <c r="J56" s="441"/>
      <c r="K56" s="441"/>
      <c r="L56" s="441"/>
      <c r="M56" s="104"/>
      <c r="N56" s="104"/>
      <c r="O56" s="104"/>
      <c r="P56" s="441"/>
      <c r="Q56" s="441"/>
      <c r="R56" s="441"/>
      <c r="S56" s="104"/>
      <c r="T56" s="441"/>
      <c r="U56" s="441"/>
      <c r="V56" s="441"/>
      <c r="W56" s="441"/>
      <c r="X56" s="117" t="str">
        <f t="shared" si="1"/>
        <v/>
      </c>
      <c r="Y56" s="110" t="str">
        <f t="shared" si="2"/>
        <v/>
      </c>
      <c r="Z56" s="111" t="str">
        <f t="shared" si="5"/>
        <v/>
      </c>
      <c r="AA56" s="108" t="str">
        <f t="shared" si="5"/>
        <v/>
      </c>
      <c r="AB56" s="216" t="str">
        <f t="shared" si="4"/>
        <v>Fill marks of all Subjects</v>
      </c>
    </row>
    <row r="57" spans="1:28" s="2" customFormat="1" ht="16.899999999999999" customHeight="1" x14ac:dyDescent="0.25">
      <c r="A57" s="123"/>
      <c r="B57" s="124"/>
      <c r="C57" s="437"/>
      <c r="D57" s="116"/>
      <c r="E57" s="438"/>
      <c r="F57" s="108"/>
      <c r="G57" s="125"/>
      <c r="H57" s="437"/>
      <c r="I57" s="125"/>
      <c r="J57" s="441"/>
      <c r="K57" s="441"/>
      <c r="L57" s="441"/>
      <c r="M57" s="104"/>
      <c r="N57" s="104"/>
      <c r="O57" s="104"/>
      <c r="P57" s="441"/>
      <c r="Q57" s="441"/>
      <c r="R57" s="441"/>
      <c r="S57" s="104"/>
      <c r="T57" s="441"/>
      <c r="U57" s="441"/>
      <c r="V57" s="441"/>
      <c r="W57" s="441"/>
      <c r="X57" s="117" t="str">
        <f t="shared" si="1"/>
        <v/>
      </c>
      <c r="Y57" s="110" t="str">
        <f t="shared" si="2"/>
        <v/>
      </c>
      <c r="Z57" s="111" t="str">
        <f t="shared" ref="Z57:AA84" si="6">IF(ISNUMBER(Y57),RANK(X57,$X$39:$X$84,0),"")</f>
        <v/>
      </c>
      <c r="AA57" s="108" t="str">
        <f t="shared" si="6"/>
        <v/>
      </c>
      <c r="AB57" s="216" t="str">
        <f t="shared" si="4"/>
        <v>Fill marks of all Subjects</v>
      </c>
    </row>
    <row r="58" spans="1:28" s="2" customFormat="1" ht="16.899999999999999" customHeight="1" x14ac:dyDescent="0.25">
      <c r="A58" s="123"/>
      <c r="B58" s="124"/>
      <c r="C58" s="437"/>
      <c r="D58" s="116"/>
      <c r="E58" s="438"/>
      <c r="F58" s="108"/>
      <c r="G58" s="125"/>
      <c r="H58" s="437"/>
      <c r="I58" s="125"/>
      <c r="J58" s="441"/>
      <c r="K58" s="441"/>
      <c r="L58" s="441"/>
      <c r="M58" s="104"/>
      <c r="N58" s="104"/>
      <c r="O58" s="104"/>
      <c r="P58" s="441"/>
      <c r="Q58" s="441"/>
      <c r="R58" s="441"/>
      <c r="S58" s="104"/>
      <c r="T58" s="441"/>
      <c r="U58" s="441"/>
      <c r="V58" s="441"/>
      <c r="W58" s="441"/>
      <c r="X58" s="117" t="str">
        <f t="shared" si="1"/>
        <v/>
      </c>
      <c r="Y58" s="110" t="str">
        <f t="shared" si="2"/>
        <v/>
      </c>
      <c r="Z58" s="111" t="str">
        <f t="shared" si="6"/>
        <v/>
      </c>
      <c r="AA58" s="108" t="str">
        <f t="shared" si="6"/>
        <v/>
      </c>
      <c r="AB58" s="216" t="str">
        <f t="shared" si="4"/>
        <v>Fill marks of all Subjects</v>
      </c>
    </row>
    <row r="59" spans="1:28" s="2" customFormat="1" ht="16.899999999999999" customHeight="1" x14ac:dyDescent="0.25">
      <c r="A59" s="123"/>
      <c r="B59" s="124"/>
      <c r="C59" s="437"/>
      <c r="D59" s="116"/>
      <c r="E59" s="438"/>
      <c r="F59" s="108"/>
      <c r="G59" s="125"/>
      <c r="H59" s="437"/>
      <c r="I59" s="125"/>
      <c r="J59" s="441"/>
      <c r="K59" s="441"/>
      <c r="L59" s="441"/>
      <c r="M59" s="104"/>
      <c r="N59" s="104"/>
      <c r="O59" s="104"/>
      <c r="P59" s="441"/>
      <c r="Q59" s="441"/>
      <c r="R59" s="441"/>
      <c r="S59" s="104"/>
      <c r="T59" s="441"/>
      <c r="U59" s="441"/>
      <c r="V59" s="441"/>
      <c r="W59" s="441"/>
      <c r="X59" s="117" t="str">
        <f t="shared" si="1"/>
        <v/>
      </c>
      <c r="Y59" s="110" t="str">
        <f t="shared" si="2"/>
        <v/>
      </c>
      <c r="Z59" s="111" t="str">
        <f t="shared" si="6"/>
        <v/>
      </c>
      <c r="AA59" s="108" t="str">
        <f t="shared" si="6"/>
        <v/>
      </c>
      <c r="AB59" s="216" t="str">
        <f t="shared" si="4"/>
        <v>Fill marks of all Subjects</v>
      </c>
    </row>
    <row r="60" spans="1:28" s="2" customFormat="1" ht="16.899999999999999" customHeight="1" x14ac:dyDescent="0.25">
      <c r="A60" s="120"/>
      <c r="B60" s="121"/>
      <c r="C60" s="442"/>
      <c r="D60" s="116"/>
      <c r="E60" s="443"/>
      <c r="F60" s="116"/>
      <c r="G60" s="122"/>
      <c r="H60" s="442"/>
      <c r="I60" s="122"/>
      <c r="J60" s="440"/>
      <c r="K60" s="440"/>
      <c r="L60" s="440"/>
      <c r="M60" s="126"/>
      <c r="N60" s="126"/>
      <c r="O60" s="126"/>
      <c r="P60" s="440"/>
      <c r="Q60" s="440"/>
      <c r="R60" s="440"/>
      <c r="S60" s="126"/>
      <c r="T60" s="440"/>
      <c r="U60" s="440"/>
      <c r="V60" s="440"/>
      <c r="W60" s="440"/>
      <c r="X60" s="117" t="str">
        <f t="shared" si="1"/>
        <v/>
      </c>
      <c r="Y60" s="118" t="str">
        <f t="shared" si="2"/>
        <v/>
      </c>
      <c r="Z60" s="119" t="str">
        <f t="shared" si="6"/>
        <v/>
      </c>
      <c r="AA60" s="116" t="str">
        <f t="shared" si="6"/>
        <v/>
      </c>
      <c r="AB60" s="216" t="str">
        <f t="shared" si="4"/>
        <v>Fill marks of all Subjects</v>
      </c>
    </row>
    <row r="61" spans="1:28" s="2" customFormat="1" ht="16.899999999999999" customHeight="1" x14ac:dyDescent="0.25">
      <c r="A61" s="123"/>
      <c r="B61" s="124"/>
      <c r="C61" s="444"/>
      <c r="D61" s="116"/>
      <c r="E61" s="438"/>
      <c r="F61" s="108"/>
      <c r="G61" s="125"/>
      <c r="H61" s="444"/>
      <c r="I61" s="125"/>
      <c r="J61" s="441"/>
      <c r="K61" s="441"/>
      <c r="L61" s="441"/>
      <c r="M61" s="104"/>
      <c r="N61" s="104"/>
      <c r="O61" s="104"/>
      <c r="P61" s="441"/>
      <c r="Q61" s="441"/>
      <c r="R61" s="441"/>
      <c r="S61" s="104"/>
      <c r="T61" s="441"/>
      <c r="U61" s="441"/>
      <c r="V61" s="441"/>
      <c r="W61" s="441"/>
      <c r="X61" s="109" t="str">
        <f t="shared" si="1"/>
        <v/>
      </c>
      <c r="Y61" s="110" t="str">
        <f t="shared" si="2"/>
        <v/>
      </c>
      <c r="Z61" s="111" t="str">
        <f t="shared" si="6"/>
        <v/>
      </c>
      <c r="AA61" s="108" t="str">
        <f t="shared" si="6"/>
        <v/>
      </c>
      <c r="AB61" s="216" t="str">
        <f t="shared" si="4"/>
        <v>Fill marks of all Subjects</v>
      </c>
    </row>
    <row r="62" spans="1:28" s="2" customFormat="1" ht="16.899999999999999" customHeight="1" x14ac:dyDescent="0.25">
      <c r="A62" s="120"/>
      <c r="B62" s="121"/>
      <c r="C62" s="442"/>
      <c r="D62" s="116"/>
      <c r="E62" s="443"/>
      <c r="F62" s="116"/>
      <c r="G62" s="122"/>
      <c r="H62" s="442"/>
      <c r="I62" s="122"/>
      <c r="J62" s="440"/>
      <c r="K62" s="440"/>
      <c r="L62" s="440"/>
      <c r="M62" s="126"/>
      <c r="N62" s="126"/>
      <c r="O62" s="126"/>
      <c r="P62" s="440"/>
      <c r="Q62" s="440"/>
      <c r="R62" s="440"/>
      <c r="S62" s="126"/>
      <c r="T62" s="440">
        <v>5</v>
      </c>
      <c r="U62" s="440"/>
      <c r="V62" s="440"/>
      <c r="W62" s="440"/>
      <c r="X62" s="117" t="str">
        <f t="shared" si="1"/>
        <v/>
      </c>
      <c r="Y62" s="118" t="str">
        <f t="shared" si="2"/>
        <v/>
      </c>
      <c r="Z62" s="119" t="str">
        <f t="shared" si="6"/>
        <v/>
      </c>
      <c r="AA62" s="116" t="str">
        <f t="shared" si="6"/>
        <v/>
      </c>
      <c r="AB62" s="216" t="str">
        <f t="shared" si="4"/>
        <v>Fill marks of all Subjects</v>
      </c>
    </row>
    <row r="63" spans="1:28" s="2" customFormat="1" ht="16.899999999999999" customHeight="1" x14ac:dyDescent="0.25">
      <c r="A63" s="123"/>
      <c r="B63" s="124"/>
      <c r="C63" s="444"/>
      <c r="D63" s="116"/>
      <c r="E63" s="438"/>
      <c r="F63" s="108"/>
      <c r="G63" s="125"/>
      <c r="H63" s="444"/>
      <c r="I63" s="125"/>
      <c r="J63" s="441"/>
      <c r="K63" s="441"/>
      <c r="L63" s="441"/>
      <c r="M63" s="104"/>
      <c r="N63" s="104"/>
      <c r="O63" s="104"/>
      <c r="P63" s="441"/>
      <c r="Q63" s="441"/>
      <c r="R63" s="441"/>
      <c r="S63" s="104"/>
      <c r="T63" s="441"/>
      <c r="U63" s="441"/>
      <c r="V63" s="441"/>
      <c r="W63" s="441"/>
      <c r="X63" s="109" t="str">
        <f t="shared" si="1"/>
        <v/>
      </c>
      <c r="Y63" s="110" t="str">
        <f t="shared" si="2"/>
        <v/>
      </c>
      <c r="Z63" s="111" t="str">
        <f t="shared" si="6"/>
        <v/>
      </c>
      <c r="AA63" s="108" t="str">
        <f t="shared" si="6"/>
        <v/>
      </c>
      <c r="AB63" s="216" t="str">
        <f t="shared" si="4"/>
        <v>Fill marks of all Subjects</v>
      </c>
    </row>
    <row r="64" spans="1:28" s="2" customFormat="1" ht="16.899999999999999" customHeight="1" x14ac:dyDescent="0.25">
      <c r="A64" s="120"/>
      <c r="B64" s="121"/>
      <c r="C64" s="442"/>
      <c r="D64" s="116"/>
      <c r="E64" s="443"/>
      <c r="F64" s="116"/>
      <c r="G64" s="122"/>
      <c r="H64" s="442"/>
      <c r="I64" s="122"/>
      <c r="J64" s="440"/>
      <c r="K64" s="440"/>
      <c r="L64" s="440"/>
      <c r="M64" s="126"/>
      <c r="N64" s="126"/>
      <c r="O64" s="126"/>
      <c r="P64" s="440"/>
      <c r="Q64" s="440"/>
      <c r="R64" s="440"/>
      <c r="S64" s="126"/>
      <c r="T64" s="440"/>
      <c r="U64" s="440"/>
      <c r="V64" s="440"/>
      <c r="W64" s="440"/>
      <c r="X64" s="117" t="str">
        <f t="shared" si="1"/>
        <v/>
      </c>
      <c r="Y64" s="118" t="str">
        <f t="shared" si="2"/>
        <v/>
      </c>
      <c r="Z64" s="119" t="str">
        <f t="shared" si="6"/>
        <v/>
      </c>
      <c r="AA64" s="116" t="str">
        <f t="shared" si="6"/>
        <v/>
      </c>
      <c r="AB64" s="216" t="str">
        <f t="shared" si="4"/>
        <v>Fill marks of all Subjects</v>
      </c>
    </row>
    <row r="65" spans="1:28" s="2" customFormat="1" ht="16.899999999999999" customHeight="1" x14ac:dyDescent="0.25">
      <c r="A65" s="123"/>
      <c r="B65" s="124"/>
      <c r="C65" s="444"/>
      <c r="D65" s="116"/>
      <c r="E65" s="438"/>
      <c r="F65" s="108"/>
      <c r="G65" s="125"/>
      <c r="H65" s="444"/>
      <c r="I65" s="125"/>
      <c r="J65" s="441"/>
      <c r="K65" s="441"/>
      <c r="L65" s="441"/>
      <c r="M65" s="104"/>
      <c r="N65" s="104"/>
      <c r="O65" s="104"/>
      <c r="P65" s="441"/>
      <c r="Q65" s="441"/>
      <c r="R65" s="441"/>
      <c r="S65" s="104"/>
      <c r="T65" s="441"/>
      <c r="U65" s="441"/>
      <c r="V65" s="441"/>
      <c r="W65" s="441"/>
      <c r="X65" s="109" t="str">
        <f t="shared" si="1"/>
        <v/>
      </c>
      <c r="Y65" s="110" t="str">
        <f t="shared" si="2"/>
        <v/>
      </c>
      <c r="Z65" s="111" t="str">
        <f t="shared" si="6"/>
        <v/>
      </c>
      <c r="AA65" s="108" t="str">
        <f t="shared" si="6"/>
        <v/>
      </c>
      <c r="AB65" s="216" t="str">
        <f t="shared" si="4"/>
        <v>Fill marks of all Subjects</v>
      </c>
    </row>
    <row r="66" spans="1:28" s="2" customFormat="1" ht="16.899999999999999" customHeight="1" x14ac:dyDescent="0.25">
      <c r="A66" s="120"/>
      <c r="B66" s="121"/>
      <c r="C66" s="442"/>
      <c r="D66" s="116"/>
      <c r="E66" s="443"/>
      <c r="F66" s="116"/>
      <c r="G66" s="122"/>
      <c r="H66" s="442"/>
      <c r="I66" s="122"/>
      <c r="J66" s="440"/>
      <c r="K66" s="440"/>
      <c r="L66" s="440"/>
      <c r="M66" s="126"/>
      <c r="N66" s="126"/>
      <c r="O66" s="126"/>
      <c r="P66" s="440"/>
      <c r="Q66" s="440"/>
      <c r="R66" s="440"/>
      <c r="S66" s="126"/>
      <c r="T66" s="440"/>
      <c r="U66" s="440"/>
      <c r="V66" s="440"/>
      <c r="W66" s="440"/>
      <c r="X66" s="117" t="str">
        <f t="shared" si="1"/>
        <v/>
      </c>
      <c r="Y66" s="118" t="str">
        <f t="shared" si="2"/>
        <v/>
      </c>
      <c r="Z66" s="119" t="str">
        <f t="shared" si="6"/>
        <v/>
      </c>
      <c r="AA66" s="116" t="str">
        <f t="shared" si="6"/>
        <v/>
      </c>
      <c r="AB66" s="216" t="str">
        <f t="shared" si="4"/>
        <v>Fill marks of all Subjects</v>
      </c>
    </row>
    <row r="67" spans="1:28" s="2" customFormat="1" ht="16.899999999999999" customHeight="1" x14ac:dyDescent="0.25">
      <c r="A67" s="123"/>
      <c r="B67" s="124"/>
      <c r="C67" s="444"/>
      <c r="D67" s="116"/>
      <c r="E67" s="438"/>
      <c r="F67" s="108"/>
      <c r="G67" s="125"/>
      <c r="H67" s="444"/>
      <c r="I67" s="125"/>
      <c r="J67" s="441"/>
      <c r="K67" s="441"/>
      <c r="L67" s="441"/>
      <c r="M67" s="104"/>
      <c r="N67" s="104"/>
      <c r="O67" s="104"/>
      <c r="P67" s="441"/>
      <c r="Q67" s="441"/>
      <c r="R67" s="441"/>
      <c r="S67" s="104"/>
      <c r="T67" s="441"/>
      <c r="U67" s="441"/>
      <c r="V67" s="441"/>
      <c r="W67" s="441"/>
      <c r="X67" s="109" t="str">
        <f t="shared" si="1"/>
        <v/>
      </c>
      <c r="Y67" s="110" t="str">
        <f t="shared" si="2"/>
        <v/>
      </c>
      <c r="Z67" s="111" t="str">
        <f t="shared" si="6"/>
        <v/>
      </c>
      <c r="AA67" s="108" t="str">
        <f t="shared" si="6"/>
        <v/>
      </c>
      <c r="AB67" s="216" t="str">
        <f t="shared" si="4"/>
        <v>Fill marks of all Subjects</v>
      </c>
    </row>
    <row r="68" spans="1:28" s="2" customFormat="1" ht="16.899999999999999" customHeight="1" x14ac:dyDescent="0.25">
      <c r="A68" s="120"/>
      <c r="B68" s="121"/>
      <c r="C68" s="442"/>
      <c r="D68" s="116"/>
      <c r="E68" s="443"/>
      <c r="F68" s="116"/>
      <c r="G68" s="122"/>
      <c r="H68" s="442"/>
      <c r="I68" s="122"/>
      <c r="J68" s="440"/>
      <c r="K68" s="440"/>
      <c r="L68" s="440"/>
      <c r="M68" s="126"/>
      <c r="N68" s="126"/>
      <c r="O68" s="126"/>
      <c r="P68" s="440"/>
      <c r="Q68" s="440"/>
      <c r="R68" s="440"/>
      <c r="S68" s="126"/>
      <c r="T68" s="440"/>
      <c r="U68" s="440"/>
      <c r="V68" s="440"/>
      <c r="W68" s="440"/>
      <c r="X68" s="117" t="str">
        <f t="shared" si="1"/>
        <v/>
      </c>
      <c r="Y68" s="118" t="str">
        <f t="shared" si="2"/>
        <v/>
      </c>
      <c r="Z68" s="119" t="str">
        <f t="shared" si="6"/>
        <v/>
      </c>
      <c r="AA68" s="116" t="str">
        <f t="shared" si="6"/>
        <v/>
      </c>
      <c r="AB68" s="216" t="str">
        <f t="shared" si="4"/>
        <v>Fill marks of all Subjects</v>
      </c>
    </row>
    <row r="69" spans="1:28" s="2" customFormat="1" ht="16.899999999999999" customHeight="1" x14ac:dyDescent="0.25">
      <c r="A69" s="123"/>
      <c r="B69" s="124"/>
      <c r="C69" s="444"/>
      <c r="D69" s="116"/>
      <c r="E69" s="438"/>
      <c r="F69" s="108"/>
      <c r="G69" s="125"/>
      <c r="H69" s="444"/>
      <c r="I69" s="125"/>
      <c r="J69" s="441"/>
      <c r="K69" s="441"/>
      <c r="L69" s="441"/>
      <c r="M69" s="104"/>
      <c r="N69" s="104"/>
      <c r="O69" s="104"/>
      <c r="P69" s="441"/>
      <c r="Q69" s="441"/>
      <c r="R69" s="441"/>
      <c r="S69" s="104"/>
      <c r="T69" s="441"/>
      <c r="U69" s="441"/>
      <c r="V69" s="441"/>
      <c r="W69" s="441"/>
      <c r="X69" s="109" t="str">
        <f t="shared" si="1"/>
        <v/>
      </c>
      <c r="Y69" s="110" t="str">
        <f t="shared" si="2"/>
        <v/>
      </c>
      <c r="Z69" s="111" t="str">
        <f t="shared" si="6"/>
        <v/>
      </c>
      <c r="AA69" s="108" t="str">
        <f t="shared" si="6"/>
        <v/>
      </c>
      <c r="AB69" s="216" t="str">
        <f t="shared" si="4"/>
        <v>Fill marks of all Subjects</v>
      </c>
    </row>
    <row r="70" spans="1:28" s="2" customFormat="1" ht="16.899999999999999" customHeight="1" x14ac:dyDescent="0.25">
      <c r="A70" s="120"/>
      <c r="B70" s="121"/>
      <c r="C70" s="442"/>
      <c r="D70" s="116"/>
      <c r="E70" s="443"/>
      <c r="F70" s="116"/>
      <c r="G70" s="122"/>
      <c r="H70" s="442"/>
      <c r="I70" s="122"/>
      <c r="J70" s="440"/>
      <c r="K70" s="440"/>
      <c r="L70" s="440"/>
      <c r="M70" s="126"/>
      <c r="N70" s="126"/>
      <c r="O70" s="126"/>
      <c r="P70" s="440"/>
      <c r="Q70" s="440"/>
      <c r="R70" s="440"/>
      <c r="S70" s="126"/>
      <c r="T70" s="440"/>
      <c r="U70" s="440"/>
      <c r="V70" s="440"/>
      <c r="W70" s="440"/>
      <c r="X70" s="117" t="str">
        <f t="shared" si="1"/>
        <v/>
      </c>
      <c r="Y70" s="118" t="str">
        <f t="shared" si="2"/>
        <v/>
      </c>
      <c r="Z70" s="119" t="str">
        <f t="shared" si="6"/>
        <v/>
      </c>
      <c r="AA70" s="116" t="str">
        <f t="shared" si="6"/>
        <v/>
      </c>
      <c r="AB70" s="216" t="str">
        <f t="shared" si="4"/>
        <v>Fill marks of all Subjects</v>
      </c>
    </row>
    <row r="71" spans="1:28" s="2" customFormat="1" ht="16.899999999999999" customHeight="1" x14ac:dyDescent="0.25">
      <c r="A71" s="123"/>
      <c r="B71" s="124"/>
      <c r="C71" s="444"/>
      <c r="D71" s="116"/>
      <c r="E71" s="438"/>
      <c r="F71" s="108"/>
      <c r="G71" s="125"/>
      <c r="H71" s="444"/>
      <c r="I71" s="125"/>
      <c r="J71" s="441"/>
      <c r="K71" s="441"/>
      <c r="L71" s="441"/>
      <c r="M71" s="104"/>
      <c r="N71" s="104"/>
      <c r="O71" s="104"/>
      <c r="P71" s="441"/>
      <c r="Q71" s="441"/>
      <c r="R71" s="441"/>
      <c r="S71" s="104"/>
      <c r="T71" s="441"/>
      <c r="U71" s="441"/>
      <c r="V71" s="441"/>
      <c r="W71" s="441"/>
      <c r="X71" s="109" t="str">
        <f t="shared" ref="X71:X84" si="7">IF(ISNUMBER(J71),SUM(J71:W71),"")</f>
        <v/>
      </c>
      <c r="Y71" s="110" t="str">
        <f t="shared" ref="Y71:Y84" si="8">IF(ISNUMBER(X71),X71/5,"")</f>
        <v/>
      </c>
      <c r="Z71" s="111" t="str">
        <f t="shared" si="6"/>
        <v/>
      </c>
      <c r="AA71" s="108" t="str">
        <f t="shared" si="6"/>
        <v/>
      </c>
      <c r="AB71" s="216" t="str">
        <f t="shared" ref="AB71:AB84" si="9">IF(COUNTA(J71:W71)&lt;&gt;6,"Fill marks of all Subjects","OK")</f>
        <v>Fill marks of all Subjects</v>
      </c>
    </row>
    <row r="72" spans="1:28" s="2" customFormat="1" ht="16.899999999999999" customHeight="1" x14ac:dyDescent="0.25">
      <c r="A72" s="120"/>
      <c r="B72" s="121"/>
      <c r="C72" s="442"/>
      <c r="D72" s="116"/>
      <c r="E72" s="443"/>
      <c r="F72" s="116"/>
      <c r="G72" s="122"/>
      <c r="H72" s="442"/>
      <c r="I72" s="122"/>
      <c r="J72" s="440"/>
      <c r="K72" s="440"/>
      <c r="L72" s="440"/>
      <c r="M72" s="126"/>
      <c r="N72" s="126"/>
      <c r="O72" s="126"/>
      <c r="P72" s="440"/>
      <c r="Q72" s="440"/>
      <c r="R72" s="440"/>
      <c r="S72" s="126"/>
      <c r="T72" s="440"/>
      <c r="U72" s="440"/>
      <c r="V72" s="440"/>
      <c r="W72" s="440"/>
      <c r="X72" s="117" t="str">
        <f t="shared" si="7"/>
        <v/>
      </c>
      <c r="Y72" s="118" t="str">
        <f t="shared" si="8"/>
        <v/>
      </c>
      <c r="Z72" s="119" t="str">
        <f t="shared" si="6"/>
        <v/>
      </c>
      <c r="AA72" s="116" t="str">
        <f t="shared" si="6"/>
        <v/>
      </c>
      <c r="AB72" s="216" t="str">
        <f t="shared" si="9"/>
        <v>Fill marks of all Subjects</v>
      </c>
    </row>
    <row r="73" spans="1:28" s="2" customFormat="1" ht="16.899999999999999" customHeight="1" x14ac:dyDescent="0.25">
      <c r="A73" s="123" t="str">
        <f t="shared" ref="A73:A84" si="10">IF(C73&gt;0,A72+1,"")</f>
        <v/>
      </c>
      <c r="B73" s="124"/>
      <c r="C73" s="444"/>
      <c r="D73" s="116"/>
      <c r="E73" s="438"/>
      <c r="F73" s="108"/>
      <c r="G73" s="125"/>
      <c r="H73" s="444"/>
      <c r="I73" s="125"/>
      <c r="J73" s="441"/>
      <c r="K73" s="441"/>
      <c r="L73" s="441"/>
      <c r="M73" s="104"/>
      <c r="N73" s="104"/>
      <c r="O73" s="104"/>
      <c r="P73" s="441"/>
      <c r="Q73" s="441"/>
      <c r="R73" s="441"/>
      <c r="S73" s="104"/>
      <c r="T73" s="441"/>
      <c r="U73" s="441"/>
      <c r="V73" s="441"/>
      <c r="W73" s="441"/>
      <c r="X73" s="109" t="str">
        <f t="shared" si="7"/>
        <v/>
      </c>
      <c r="Y73" s="110" t="str">
        <f t="shared" si="8"/>
        <v/>
      </c>
      <c r="Z73" s="111" t="str">
        <f t="shared" si="6"/>
        <v/>
      </c>
      <c r="AA73" s="108" t="str">
        <f t="shared" si="6"/>
        <v/>
      </c>
      <c r="AB73" s="216" t="str">
        <f t="shared" si="9"/>
        <v>Fill marks of all Subjects</v>
      </c>
    </row>
    <row r="74" spans="1:28" s="2" customFormat="1" ht="16.899999999999999" customHeight="1" x14ac:dyDescent="0.25">
      <c r="A74" s="120" t="str">
        <f t="shared" si="10"/>
        <v/>
      </c>
      <c r="B74" s="121"/>
      <c r="C74" s="442"/>
      <c r="D74" s="116"/>
      <c r="E74" s="443"/>
      <c r="F74" s="116"/>
      <c r="G74" s="122"/>
      <c r="H74" s="442"/>
      <c r="I74" s="122"/>
      <c r="J74" s="440"/>
      <c r="K74" s="440"/>
      <c r="L74" s="440"/>
      <c r="M74" s="126"/>
      <c r="N74" s="126"/>
      <c r="O74" s="126"/>
      <c r="P74" s="440"/>
      <c r="Q74" s="440"/>
      <c r="R74" s="440"/>
      <c r="S74" s="126"/>
      <c r="T74" s="440"/>
      <c r="U74" s="440"/>
      <c r="V74" s="440"/>
      <c r="W74" s="440"/>
      <c r="X74" s="117" t="str">
        <f t="shared" si="7"/>
        <v/>
      </c>
      <c r="Y74" s="118" t="str">
        <f t="shared" si="8"/>
        <v/>
      </c>
      <c r="Z74" s="119" t="str">
        <f t="shared" si="6"/>
        <v/>
      </c>
      <c r="AA74" s="116" t="str">
        <f t="shared" si="6"/>
        <v/>
      </c>
      <c r="AB74" s="216" t="str">
        <f t="shared" si="9"/>
        <v>Fill marks of all Subjects</v>
      </c>
    </row>
    <row r="75" spans="1:28" s="2" customFormat="1" ht="16.899999999999999" customHeight="1" x14ac:dyDescent="0.25">
      <c r="A75" s="123" t="str">
        <f t="shared" si="10"/>
        <v/>
      </c>
      <c r="B75" s="124"/>
      <c r="C75" s="444"/>
      <c r="D75" s="116"/>
      <c r="E75" s="438"/>
      <c r="F75" s="108"/>
      <c r="G75" s="125"/>
      <c r="H75" s="444"/>
      <c r="I75" s="125"/>
      <c r="J75" s="441"/>
      <c r="K75" s="441"/>
      <c r="L75" s="441"/>
      <c r="M75" s="104"/>
      <c r="N75" s="104"/>
      <c r="O75" s="104"/>
      <c r="P75" s="441"/>
      <c r="Q75" s="441"/>
      <c r="R75" s="441"/>
      <c r="S75" s="104"/>
      <c r="T75" s="441"/>
      <c r="U75" s="441"/>
      <c r="V75" s="441"/>
      <c r="W75" s="441"/>
      <c r="X75" s="109" t="str">
        <f t="shared" si="7"/>
        <v/>
      </c>
      <c r="Y75" s="110" t="str">
        <f t="shared" si="8"/>
        <v/>
      </c>
      <c r="Z75" s="111" t="str">
        <f t="shared" si="6"/>
        <v/>
      </c>
      <c r="AA75" s="108" t="str">
        <f t="shared" si="6"/>
        <v/>
      </c>
      <c r="AB75" s="216" t="str">
        <f t="shared" si="9"/>
        <v>Fill marks of all Subjects</v>
      </c>
    </row>
    <row r="76" spans="1:28" s="2" customFormat="1" ht="16.899999999999999" customHeight="1" x14ac:dyDescent="0.25">
      <c r="A76" s="120" t="str">
        <f t="shared" si="10"/>
        <v/>
      </c>
      <c r="B76" s="121"/>
      <c r="C76" s="442"/>
      <c r="D76" s="116"/>
      <c r="E76" s="443"/>
      <c r="F76" s="116"/>
      <c r="G76" s="122"/>
      <c r="H76" s="442"/>
      <c r="I76" s="122"/>
      <c r="J76" s="440"/>
      <c r="K76" s="440"/>
      <c r="L76" s="440"/>
      <c r="M76" s="126"/>
      <c r="N76" s="126"/>
      <c r="O76" s="126"/>
      <c r="P76" s="440"/>
      <c r="Q76" s="440"/>
      <c r="R76" s="440"/>
      <c r="S76" s="126"/>
      <c r="T76" s="440"/>
      <c r="U76" s="440"/>
      <c r="V76" s="440"/>
      <c r="W76" s="440"/>
      <c r="X76" s="117" t="str">
        <f t="shared" si="7"/>
        <v/>
      </c>
      <c r="Y76" s="118" t="str">
        <f t="shared" si="8"/>
        <v/>
      </c>
      <c r="Z76" s="119" t="str">
        <f t="shared" si="6"/>
        <v/>
      </c>
      <c r="AA76" s="116" t="str">
        <f t="shared" si="6"/>
        <v/>
      </c>
      <c r="AB76" s="216" t="str">
        <f t="shared" si="9"/>
        <v>Fill marks of all Subjects</v>
      </c>
    </row>
    <row r="77" spans="1:28" s="2" customFormat="1" ht="16.899999999999999" customHeight="1" x14ac:dyDescent="0.25">
      <c r="A77" s="123" t="str">
        <f t="shared" si="10"/>
        <v/>
      </c>
      <c r="B77" s="124"/>
      <c r="C77" s="444"/>
      <c r="D77" s="116"/>
      <c r="E77" s="438"/>
      <c r="F77" s="108"/>
      <c r="G77" s="125"/>
      <c r="H77" s="444"/>
      <c r="I77" s="125"/>
      <c r="J77" s="441"/>
      <c r="K77" s="441"/>
      <c r="L77" s="441"/>
      <c r="M77" s="104"/>
      <c r="N77" s="104"/>
      <c r="O77" s="104"/>
      <c r="P77" s="441"/>
      <c r="Q77" s="441"/>
      <c r="R77" s="441"/>
      <c r="S77" s="104"/>
      <c r="T77" s="441"/>
      <c r="U77" s="441"/>
      <c r="V77" s="441"/>
      <c r="W77" s="441"/>
      <c r="X77" s="109" t="str">
        <f t="shared" si="7"/>
        <v/>
      </c>
      <c r="Y77" s="110" t="str">
        <f t="shared" si="8"/>
        <v/>
      </c>
      <c r="Z77" s="111" t="str">
        <f t="shared" si="6"/>
        <v/>
      </c>
      <c r="AA77" s="108" t="str">
        <f t="shared" si="6"/>
        <v/>
      </c>
      <c r="AB77" s="216" t="str">
        <f t="shared" si="9"/>
        <v>Fill marks of all Subjects</v>
      </c>
    </row>
    <row r="78" spans="1:28" s="2" customFormat="1" ht="16.899999999999999" customHeight="1" x14ac:dyDescent="0.25">
      <c r="A78" s="120" t="str">
        <f t="shared" si="10"/>
        <v/>
      </c>
      <c r="B78" s="121"/>
      <c r="C78" s="442"/>
      <c r="D78" s="116"/>
      <c r="E78" s="443"/>
      <c r="F78" s="116"/>
      <c r="G78" s="122"/>
      <c r="H78" s="442"/>
      <c r="I78" s="122"/>
      <c r="J78" s="440"/>
      <c r="K78" s="440"/>
      <c r="L78" s="440"/>
      <c r="M78" s="126"/>
      <c r="N78" s="126"/>
      <c r="O78" s="126"/>
      <c r="P78" s="440"/>
      <c r="Q78" s="440"/>
      <c r="R78" s="440"/>
      <c r="S78" s="126"/>
      <c r="T78" s="440"/>
      <c r="U78" s="440"/>
      <c r="V78" s="440"/>
      <c r="W78" s="440"/>
      <c r="X78" s="117" t="str">
        <f t="shared" si="7"/>
        <v/>
      </c>
      <c r="Y78" s="118" t="str">
        <f t="shared" si="8"/>
        <v/>
      </c>
      <c r="Z78" s="119" t="str">
        <f t="shared" si="6"/>
        <v/>
      </c>
      <c r="AA78" s="116" t="str">
        <f t="shared" si="6"/>
        <v/>
      </c>
      <c r="AB78" s="216" t="str">
        <f t="shared" si="9"/>
        <v>Fill marks of all Subjects</v>
      </c>
    </row>
    <row r="79" spans="1:28" s="2" customFormat="1" ht="16.899999999999999" customHeight="1" x14ac:dyDescent="0.25">
      <c r="A79" s="123" t="str">
        <f t="shared" si="10"/>
        <v/>
      </c>
      <c r="B79" s="124"/>
      <c r="C79" s="444"/>
      <c r="D79" s="116"/>
      <c r="E79" s="438"/>
      <c r="F79" s="108"/>
      <c r="G79" s="125"/>
      <c r="H79" s="444"/>
      <c r="I79" s="125"/>
      <c r="J79" s="441"/>
      <c r="K79" s="441"/>
      <c r="L79" s="441"/>
      <c r="M79" s="104"/>
      <c r="N79" s="104"/>
      <c r="O79" s="104"/>
      <c r="P79" s="441"/>
      <c r="Q79" s="441"/>
      <c r="R79" s="441"/>
      <c r="S79" s="104"/>
      <c r="T79" s="441"/>
      <c r="U79" s="441"/>
      <c r="V79" s="441"/>
      <c r="W79" s="441"/>
      <c r="X79" s="109" t="str">
        <f t="shared" si="7"/>
        <v/>
      </c>
      <c r="Y79" s="110" t="str">
        <f t="shared" si="8"/>
        <v/>
      </c>
      <c r="Z79" s="111" t="str">
        <f t="shared" si="6"/>
        <v/>
      </c>
      <c r="AA79" s="108" t="str">
        <f t="shared" si="6"/>
        <v/>
      </c>
      <c r="AB79" s="216" t="str">
        <f t="shared" si="9"/>
        <v>Fill marks of all Subjects</v>
      </c>
    </row>
    <row r="80" spans="1:28" s="2" customFormat="1" ht="16.899999999999999" customHeight="1" x14ac:dyDescent="0.25">
      <c r="A80" s="120" t="str">
        <f t="shared" si="10"/>
        <v/>
      </c>
      <c r="B80" s="121"/>
      <c r="C80" s="442"/>
      <c r="D80" s="116"/>
      <c r="E80" s="443"/>
      <c r="F80" s="116"/>
      <c r="G80" s="122"/>
      <c r="H80" s="442"/>
      <c r="I80" s="122"/>
      <c r="J80" s="440"/>
      <c r="K80" s="440"/>
      <c r="L80" s="440"/>
      <c r="M80" s="126"/>
      <c r="N80" s="126"/>
      <c r="O80" s="126"/>
      <c r="P80" s="440"/>
      <c r="Q80" s="440"/>
      <c r="R80" s="440"/>
      <c r="S80" s="126"/>
      <c r="T80" s="440"/>
      <c r="U80" s="440"/>
      <c r="V80" s="440"/>
      <c r="W80" s="440"/>
      <c r="X80" s="117" t="str">
        <f t="shared" si="7"/>
        <v/>
      </c>
      <c r="Y80" s="118" t="str">
        <f t="shared" si="8"/>
        <v/>
      </c>
      <c r="Z80" s="119" t="str">
        <f t="shared" si="6"/>
        <v/>
      </c>
      <c r="AA80" s="116" t="str">
        <f t="shared" si="6"/>
        <v/>
      </c>
      <c r="AB80" s="216" t="str">
        <f t="shared" si="9"/>
        <v>Fill marks of all Subjects</v>
      </c>
    </row>
    <row r="81" spans="1:28" s="2" customFormat="1" ht="16.899999999999999" customHeight="1" x14ac:dyDescent="0.25">
      <c r="A81" s="123" t="str">
        <f t="shared" si="10"/>
        <v/>
      </c>
      <c r="B81" s="124"/>
      <c r="C81" s="444"/>
      <c r="D81" s="116"/>
      <c r="E81" s="438"/>
      <c r="F81" s="108"/>
      <c r="G81" s="125"/>
      <c r="H81" s="444"/>
      <c r="I81" s="125"/>
      <c r="J81" s="441"/>
      <c r="K81" s="441"/>
      <c r="L81" s="441"/>
      <c r="M81" s="104"/>
      <c r="N81" s="104"/>
      <c r="O81" s="104"/>
      <c r="P81" s="441"/>
      <c r="Q81" s="441"/>
      <c r="R81" s="441"/>
      <c r="S81" s="104"/>
      <c r="T81" s="441"/>
      <c r="U81" s="441"/>
      <c r="V81" s="441"/>
      <c r="W81" s="441"/>
      <c r="X81" s="109" t="str">
        <f t="shared" si="7"/>
        <v/>
      </c>
      <c r="Y81" s="110" t="str">
        <f t="shared" si="8"/>
        <v/>
      </c>
      <c r="Z81" s="111" t="str">
        <f t="shared" si="6"/>
        <v/>
      </c>
      <c r="AA81" s="108" t="str">
        <f t="shared" si="6"/>
        <v/>
      </c>
      <c r="AB81" s="216" t="str">
        <f t="shared" si="9"/>
        <v>Fill marks of all Subjects</v>
      </c>
    </row>
    <row r="82" spans="1:28" s="2" customFormat="1" ht="16.899999999999999" customHeight="1" x14ac:dyDescent="0.25">
      <c r="A82" s="120" t="str">
        <f t="shared" si="10"/>
        <v/>
      </c>
      <c r="B82" s="121"/>
      <c r="C82" s="442"/>
      <c r="D82" s="116"/>
      <c r="E82" s="443"/>
      <c r="F82" s="116"/>
      <c r="G82" s="122"/>
      <c r="H82" s="442"/>
      <c r="I82" s="122"/>
      <c r="J82" s="440"/>
      <c r="K82" s="440"/>
      <c r="L82" s="440"/>
      <c r="M82" s="126"/>
      <c r="N82" s="126"/>
      <c r="O82" s="126"/>
      <c r="P82" s="440"/>
      <c r="Q82" s="440"/>
      <c r="R82" s="440"/>
      <c r="S82" s="126"/>
      <c r="T82" s="440"/>
      <c r="U82" s="440"/>
      <c r="V82" s="440"/>
      <c r="W82" s="440"/>
      <c r="X82" s="117" t="str">
        <f t="shared" si="7"/>
        <v/>
      </c>
      <c r="Y82" s="118" t="str">
        <f t="shared" si="8"/>
        <v/>
      </c>
      <c r="Z82" s="119" t="str">
        <f t="shared" si="6"/>
        <v/>
      </c>
      <c r="AA82" s="116" t="str">
        <f t="shared" si="6"/>
        <v/>
      </c>
      <c r="AB82" s="216" t="str">
        <f t="shared" si="9"/>
        <v>Fill marks of all Subjects</v>
      </c>
    </row>
    <row r="83" spans="1:28" s="2" customFormat="1" ht="16.899999999999999" customHeight="1" x14ac:dyDescent="0.25">
      <c r="A83" s="123" t="str">
        <f t="shared" si="10"/>
        <v/>
      </c>
      <c r="B83" s="124"/>
      <c r="C83" s="444"/>
      <c r="D83" s="116"/>
      <c r="E83" s="438"/>
      <c r="F83" s="108"/>
      <c r="G83" s="125"/>
      <c r="H83" s="444"/>
      <c r="I83" s="125"/>
      <c r="J83" s="441"/>
      <c r="K83" s="441"/>
      <c r="L83" s="441"/>
      <c r="M83" s="104"/>
      <c r="N83" s="104"/>
      <c r="O83" s="104"/>
      <c r="P83" s="441"/>
      <c r="Q83" s="441"/>
      <c r="R83" s="441"/>
      <c r="S83" s="104"/>
      <c r="T83" s="441"/>
      <c r="U83" s="441"/>
      <c r="V83" s="441"/>
      <c r="W83" s="441"/>
      <c r="X83" s="109" t="str">
        <f t="shared" si="7"/>
        <v/>
      </c>
      <c r="Y83" s="110" t="str">
        <f t="shared" si="8"/>
        <v/>
      </c>
      <c r="Z83" s="111" t="str">
        <f t="shared" si="6"/>
        <v/>
      </c>
      <c r="AA83" s="108" t="str">
        <f t="shared" si="6"/>
        <v/>
      </c>
      <c r="AB83" s="216" t="str">
        <f t="shared" si="9"/>
        <v>Fill marks of all Subjects</v>
      </c>
    </row>
    <row r="84" spans="1:28" s="2" customFormat="1" ht="16.899999999999999" customHeight="1" x14ac:dyDescent="0.25">
      <c r="A84" s="120" t="str">
        <f t="shared" si="10"/>
        <v/>
      </c>
      <c r="B84" s="121"/>
      <c r="C84" s="442"/>
      <c r="D84" s="116"/>
      <c r="E84" s="443"/>
      <c r="F84" s="116"/>
      <c r="G84" s="122"/>
      <c r="H84" s="442"/>
      <c r="I84" s="122"/>
      <c r="J84" s="440"/>
      <c r="K84" s="440"/>
      <c r="L84" s="440"/>
      <c r="M84" s="126"/>
      <c r="N84" s="126"/>
      <c r="O84" s="126"/>
      <c r="P84" s="440"/>
      <c r="Q84" s="440"/>
      <c r="R84" s="440"/>
      <c r="S84" s="126"/>
      <c r="T84" s="440"/>
      <c r="U84" s="440"/>
      <c r="V84" s="440"/>
      <c r="W84" s="440"/>
      <c r="X84" s="117" t="str">
        <f t="shared" si="7"/>
        <v/>
      </c>
      <c r="Y84" s="118" t="str">
        <f t="shared" si="8"/>
        <v/>
      </c>
      <c r="Z84" s="119" t="str">
        <f t="shared" si="6"/>
        <v/>
      </c>
      <c r="AA84" s="116" t="str">
        <f t="shared" si="6"/>
        <v/>
      </c>
      <c r="AB84" s="216" t="str">
        <f t="shared" si="9"/>
        <v>Fill marks of all Subjects</v>
      </c>
    </row>
    <row r="85" spans="1:28" s="2" customFormat="1" ht="16.899999999999999" customHeight="1" x14ac:dyDescent="0.25">
      <c r="A85" s="252" t="s">
        <v>257</v>
      </c>
      <c r="B85" s="269" t="s">
        <v>91</v>
      </c>
      <c r="C85" s="269">
        <f>COUNTIF($B$6:$B$84,"6")</f>
        <v>0</v>
      </c>
      <c r="D85" s="263" t="s">
        <v>186</v>
      </c>
      <c r="E85" s="257">
        <f>COUNT(E6:E84)</f>
        <v>0</v>
      </c>
      <c r="F85" s="258"/>
      <c r="G85" s="249" t="s">
        <v>259</v>
      </c>
      <c r="H85" s="249"/>
      <c r="I85" s="249"/>
      <c r="J85" s="225">
        <f t="shared" ref="J85" si="11">SUM(J6:J84)</f>
        <v>0</v>
      </c>
      <c r="K85" s="225">
        <f t="shared" ref="K85" si="12">SUM(K6:K84)</f>
        <v>0</v>
      </c>
      <c r="L85" s="225">
        <f t="shared" ref="L85" si="13">SUM(L6:L84)</f>
        <v>0</v>
      </c>
      <c r="M85" s="225">
        <f t="shared" ref="M85" si="14">SUM(M6:M84)</f>
        <v>0</v>
      </c>
      <c r="N85" s="225">
        <f t="shared" ref="N85" si="15">SUM(N6:N84)</f>
        <v>0</v>
      </c>
      <c r="O85" s="225">
        <f t="shared" ref="O85" si="16">SUM(O6:O84)</f>
        <v>0</v>
      </c>
      <c r="P85" s="225">
        <f t="shared" ref="P85" si="17">SUM(P6:P84)</f>
        <v>0</v>
      </c>
      <c r="Q85" s="225">
        <f t="shared" ref="Q85" si="18">SUM(Q6:Q84)</f>
        <v>0</v>
      </c>
      <c r="R85" s="225">
        <f t="shared" ref="R85" si="19">SUM(R6:R84)</f>
        <v>0</v>
      </c>
      <c r="S85" s="225">
        <f t="shared" ref="S85:T85" si="20">SUM(S6:S84)</f>
        <v>0</v>
      </c>
      <c r="T85" s="225">
        <f t="shared" si="20"/>
        <v>5</v>
      </c>
      <c r="U85" s="225">
        <f t="shared" ref="U85:W85" si="21">SUM(U6:U84)</f>
        <v>0</v>
      </c>
      <c r="V85" s="225">
        <f t="shared" si="21"/>
        <v>0</v>
      </c>
      <c r="W85" s="225">
        <f t="shared" si="21"/>
        <v>0</v>
      </c>
      <c r="X85" s="225">
        <f>SUM(X$6:X$84)</f>
        <v>0</v>
      </c>
      <c r="Y85" s="226" t="e">
        <f>AVERAGE(Y6:Y84)</f>
        <v>#DIV/0!</v>
      </c>
      <c r="Z85" s="233" t="s">
        <v>273</v>
      </c>
      <c r="AA85" s="234"/>
      <c r="AB85" s="227"/>
    </row>
    <row r="86" spans="1:28" s="2" customFormat="1" ht="16.899999999999999" customHeight="1" x14ac:dyDescent="0.25">
      <c r="A86" s="252"/>
      <c r="B86" s="269"/>
      <c r="C86" s="269"/>
      <c r="D86" s="264"/>
      <c r="E86" s="259"/>
      <c r="F86" s="260"/>
      <c r="G86" s="248" t="s">
        <v>6</v>
      </c>
      <c r="H86" s="248"/>
      <c r="I86" s="248"/>
      <c r="J86" s="113">
        <f t="shared" ref="J86:R86" si="22">COUNT(J6:J84)+COUNTIF(J6:J84,"AB")</f>
        <v>0</v>
      </c>
      <c r="K86" s="113">
        <f t="shared" si="22"/>
        <v>0</v>
      </c>
      <c r="L86" s="113">
        <f t="shared" si="22"/>
        <v>0</v>
      </c>
      <c r="M86" s="113">
        <f t="shared" si="22"/>
        <v>0</v>
      </c>
      <c r="N86" s="113">
        <f t="shared" si="22"/>
        <v>0</v>
      </c>
      <c r="O86" s="113">
        <f t="shared" si="22"/>
        <v>0</v>
      </c>
      <c r="P86" s="113">
        <f t="shared" si="22"/>
        <v>0</v>
      </c>
      <c r="Q86" s="113">
        <f t="shared" si="22"/>
        <v>0</v>
      </c>
      <c r="R86" s="113">
        <f t="shared" si="22"/>
        <v>0</v>
      </c>
      <c r="S86" s="113">
        <f t="shared" ref="S86" si="23">COUNT(S6:S84)+COUNTIF(S6:S84,"AB")</f>
        <v>0</v>
      </c>
      <c r="T86" s="113">
        <f t="shared" ref="T86:W86" si="24">COUNT(T6:T84)+COUNTIF(T6:T84,"AB")</f>
        <v>1</v>
      </c>
      <c r="U86" s="113">
        <f t="shared" si="24"/>
        <v>0</v>
      </c>
      <c r="V86" s="113">
        <f t="shared" si="24"/>
        <v>0</v>
      </c>
      <c r="W86" s="113">
        <f t="shared" si="24"/>
        <v>0</v>
      </c>
      <c r="X86" s="114">
        <f>COUNTIF(X$6:X$84,"&gt;0")</f>
        <v>0</v>
      </c>
      <c r="Y86" s="223">
        <f>E85</f>
        <v>0</v>
      </c>
      <c r="Z86" s="233"/>
      <c r="AA86" s="234"/>
      <c r="AB86" s="237" t="s">
        <v>269</v>
      </c>
    </row>
    <row r="87" spans="1:28" s="2" customFormat="1" ht="16.899999999999999" customHeight="1" x14ac:dyDescent="0.25">
      <c r="A87" s="252"/>
      <c r="B87" s="269"/>
      <c r="C87" s="269"/>
      <c r="D87" s="265"/>
      <c r="E87" s="261"/>
      <c r="F87" s="262"/>
      <c r="G87" s="253" t="s">
        <v>7</v>
      </c>
      <c r="H87" s="249"/>
      <c r="I87" s="249"/>
      <c r="J87" s="205">
        <f t="shared" ref="J87:R87" si="25">COUNT(J6:J84)</f>
        <v>0</v>
      </c>
      <c r="K87" s="205">
        <f t="shared" si="25"/>
        <v>0</v>
      </c>
      <c r="L87" s="205">
        <f t="shared" si="25"/>
        <v>0</v>
      </c>
      <c r="M87" s="205">
        <f t="shared" si="25"/>
        <v>0</v>
      </c>
      <c r="N87" s="205">
        <f t="shared" si="25"/>
        <v>0</v>
      </c>
      <c r="O87" s="205">
        <f t="shared" si="25"/>
        <v>0</v>
      </c>
      <c r="P87" s="205">
        <f t="shared" si="25"/>
        <v>0</v>
      </c>
      <c r="Q87" s="205">
        <f t="shared" si="25"/>
        <v>0</v>
      </c>
      <c r="R87" s="205">
        <f t="shared" si="25"/>
        <v>0</v>
      </c>
      <c r="S87" s="205">
        <f t="shared" ref="S87" si="26">COUNT(S6:S84)</f>
        <v>0</v>
      </c>
      <c r="T87" s="205">
        <f t="shared" ref="T87:W87" si="27">COUNT(T6:T84)</f>
        <v>1</v>
      </c>
      <c r="U87" s="205">
        <f t="shared" si="27"/>
        <v>0</v>
      </c>
      <c r="V87" s="205">
        <f t="shared" si="27"/>
        <v>0</v>
      </c>
      <c r="W87" s="205">
        <f t="shared" si="27"/>
        <v>0</v>
      </c>
      <c r="X87" s="205">
        <f>COUNTIF(X$6:X$84,"&gt;0")</f>
        <v>0</v>
      </c>
      <c r="Y87" s="228">
        <f>COUNTIF($Y$6:$Y$84,"&gt;0")</f>
        <v>0</v>
      </c>
      <c r="Z87" s="233"/>
      <c r="AA87" s="234"/>
      <c r="AB87" s="238"/>
    </row>
    <row r="88" spans="1:28" s="2" customFormat="1" ht="16.899999999999999" customHeight="1" x14ac:dyDescent="0.25">
      <c r="A88" s="252"/>
      <c r="B88" s="269"/>
      <c r="C88" s="269"/>
      <c r="D88" s="266" t="s">
        <v>75</v>
      </c>
      <c r="E88" s="266">
        <f>COUNTIF($I$6:$I$84,D88)</f>
        <v>0</v>
      </c>
      <c r="F88" s="267">
        <f>E88+E90</f>
        <v>0</v>
      </c>
      <c r="G88" s="248" t="s">
        <v>169</v>
      </c>
      <c r="H88" s="248"/>
      <c r="I88" s="248"/>
      <c r="J88" s="114">
        <f t="shared" ref="J88:R88" si="28">COUNTIF(J6:J84,"&gt;=33")</f>
        <v>0</v>
      </c>
      <c r="K88" s="114">
        <f t="shared" si="28"/>
        <v>0</v>
      </c>
      <c r="L88" s="114">
        <f t="shared" si="28"/>
        <v>0</v>
      </c>
      <c r="M88" s="114">
        <v>32</v>
      </c>
      <c r="N88" s="114">
        <v>32</v>
      </c>
      <c r="O88" s="114">
        <v>10</v>
      </c>
      <c r="P88" s="114">
        <f t="shared" si="28"/>
        <v>0</v>
      </c>
      <c r="Q88" s="114">
        <f t="shared" si="28"/>
        <v>0</v>
      </c>
      <c r="R88" s="114">
        <f t="shared" si="28"/>
        <v>0</v>
      </c>
      <c r="S88" s="114">
        <f t="shared" ref="S88" si="29">COUNTIF(S6:S84,"&gt;=33")</f>
        <v>0</v>
      </c>
      <c r="T88" s="114">
        <f t="shared" ref="T88:W88" si="30">COUNTIF(T6:T84,"&gt;=33")</f>
        <v>0</v>
      </c>
      <c r="U88" s="114">
        <f t="shared" si="30"/>
        <v>0</v>
      </c>
      <c r="V88" s="114">
        <f t="shared" si="30"/>
        <v>0</v>
      </c>
      <c r="W88" s="114">
        <f t="shared" si="30"/>
        <v>0</v>
      </c>
      <c r="X88" s="221">
        <f>COUNTIF(X$6:X$84,"&gt;=165")</f>
        <v>0</v>
      </c>
      <c r="Y88" s="223">
        <f>COUNTIF($Y$6:$Y$84,"&gt;=33")</f>
        <v>0</v>
      </c>
      <c r="Z88" s="233"/>
      <c r="AA88" s="234"/>
      <c r="AB88" s="112">
        <f>COUNTIF(AC6:AC84,"Pass")</f>
        <v>0</v>
      </c>
    </row>
    <row r="89" spans="1:28" s="2" customFormat="1" ht="16.899999999999999" customHeight="1" x14ac:dyDescent="0.25">
      <c r="A89" s="252"/>
      <c r="B89" s="269" t="s">
        <v>92</v>
      </c>
      <c r="C89" s="269">
        <f>COUNTIF($B$6:$B$84,"9")</f>
        <v>0</v>
      </c>
      <c r="D89" s="266"/>
      <c r="E89" s="266"/>
      <c r="F89" s="267"/>
      <c r="G89" s="253" t="s">
        <v>170</v>
      </c>
      <c r="H89" s="249"/>
      <c r="I89" s="249"/>
      <c r="J89" s="205">
        <f t="shared" ref="J89:R89" si="31">COUNTIF(J6:J84,"&lt;33")</f>
        <v>0</v>
      </c>
      <c r="K89" s="205">
        <f t="shared" si="31"/>
        <v>0</v>
      </c>
      <c r="L89" s="205">
        <f t="shared" si="31"/>
        <v>0</v>
      </c>
      <c r="M89" s="205">
        <f t="shared" si="31"/>
        <v>0</v>
      </c>
      <c r="N89" s="205">
        <f t="shared" si="31"/>
        <v>0</v>
      </c>
      <c r="O89" s="205">
        <f t="shared" si="31"/>
        <v>0</v>
      </c>
      <c r="P89" s="205">
        <f t="shared" si="31"/>
        <v>0</v>
      </c>
      <c r="Q89" s="205">
        <f t="shared" si="31"/>
        <v>0</v>
      </c>
      <c r="R89" s="205">
        <f t="shared" si="31"/>
        <v>0</v>
      </c>
      <c r="S89" s="205">
        <f t="shared" ref="S89" si="32">COUNTIF(S6:S84,"&lt;33")</f>
        <v>0</v>
      </c>
      <c r="T89" s="205">
        <f t="shared" ref="T89:W89" si="33">COUNTIF(T6:T84,"&lt;33")</f>
        <v>1</v>
      </c>
      <c r="U89" s="205">
        <f t="shared" si="33"/>
        <v>0</v>
      </c>
      <c r="V89" s="205">
        <f t="shared" si="33"/>
        <v>0</v>
      </c>
      <c r="W89" s="205">
        <f t="shared" si="33"/>
        <v>0</v>
      </c>
      <c r="X89" s="205">
        <f>COUNTIF(X$6:X$84,"&lt;165")</f>
        <v>0</v>
      </c>
      <c r="Y89" s="228">
        <f>COUNTIF($Y$6:$Y$84,"&lt;33")</f>
        <v>0</v>
      </c>
      <c r="Z89" s="233"/>
      <c r="AA89" s="234"/>
      <c r="AB89" s="218"/>
    </row>
    <row r="90" spans="1:28" s="2" customFormat="1" ht="16.899999999999999" customHeight="1" x14ac:dyDescent="0.25">
      <c r="A90" s="252"/>
      <c r="B90" s="269"/>
      <c r="C90" s="269"/>
      <c r="D90" s="266" t="s">
        <v>76</v>
      </c>
      <c r="E90" s="266">
        <f>COUNTIF($I$6:$I$84,D90)</f>
        <v>0</v>
      </c>
      <c r="F90" s="267"/>
      <c r="G90" s="248" t="s">
        <v>243</v>
      </c>
      <c r="H90" s="248"/>
      <c r="I90" s="248"/>
      <c r="J90" s="115" t="e">
        <f t="shared" ref="J90:R90" si="34">SUM(J6:J84)/J87</f>
        <v>#DIV/0!</v>
      </c>
      <c r="K90" s="115" t="e">
        <f t="shared" si="34"/>
        <v>#DIV/0!</v>
      </c>
      <c r="L90" s="115" t="e">
        <f t="shared" si="34"/>
        <v>#DIV/0!</v>
      </c>
      <c r="M90" s="115" t="e">
        <f t="shared" si="34"/>
        <v>#DIV/0!</v>
      </c>
      <c r="N90" s="115" t="e">
        <f t="shared" si="34"/>
        <v>#DIV/0!</v>
      </c>
      <c r="O90" s="115" t="e">
        <f t="shared" si="34"/>
        <v>#DIV/0!</v>
      </c>
      <c r="P90" s="115" t="e">
        <f t="shared" si="34"/>
        <v>#DIV/0!</v>
      </c>
      <c r="Q90" s="115" t="e">
        <f t="shared" si="34"/>
        <v>#DIV/0!</v>
      </c>
      <c r="R90" s="115" t="e">
        <f t="shared" si="34"/>
        <v>#DIV/0!</v>
      </c>
      <c r="S90" s="115" t="e">
        <f>SUM(S6:S84)/S87</f>
        <v>#DIV/0!</v>
      </c>
      <c r="T90" s="115">
        <f>SUM(T6:T84)/T87</f>
        <v>5</v>
      </c>
      <c r="U90" s="115" t="e">
        <f t="shared" ref="U90:W90" si="35">SUM(U6:U84)/U87</f>
        <v>#DIV/0!</v>
      </c>
      <c r="V90" s="115" t="e">
        <f t="shared" si="35"/>
        <v>#DIV/0!</v>
      </c>
      <c r="W90" s="115" t="e">
        <f t="shared" si="35"/>
        <v>#DIV/0!</v>
      </c>
      <c r="X90" s="115" t="e">
        <f>AVERAGE(Y6:Y84)</f>
        <v>#DIV/0!</v>
      </c>
      <c r="Y90" s="224" t="e">
        <f>AVERAGE($Y$6:$Y$84)</f>
        <v>#DIV/0!</v>
      </c>
      <c r="Z90" s="233"/>
      <c r="AA90" s="234"/>
      <c r="AB90" s="112"/>
    </row>
    <row r="91" spans="1:28" s="2" customFormat="1" ht="16.899999999999999" customHeight="1" x14ac:dyDescent="0.25">
      <c r="A91" s="252"/>
      <c r="B91" s="269"/>
      <c r="C91" s="269"/>
      <c r="D91" s="266"/>
      <c r="E91" s="266"/>
      <c r="F91" s="267"/>
      <c r="G91" s="253" t="s">
        <v>37</v>
      </c>
      <c r="H91" s="249"/>
      <c r="I91" s="249"/>
      <c r="J91" s="204" t="e">
        <f t="shared" ref="J91:T91" si="36">IF(ISNUMBER(J87),J88/J87*100,"")</f>
        <v>#DIV/0!</v>
      </c>
      <c r="K91" s="204" t="e">
        <f t="shared" si="36"/>
        <v>#DIV/0!</v>
      </c>
      <c r="L91" s="204" t="e">
        <f t="shared" si="36"/>
        <v>#DIV/0!</v>
      </c>
      <c r="M91" s="204" t="e">
        <f t="shared" si="36"/>
        <v>#DIV/0!</v>
      </c>
      <c r="N91" s="204" t="e">
        <f>IF(ISNUMBER(N87),N88/N87*100,"")</f>
        <v>#DIV/0!</v>
      </c>
      <c r="O91" s="204" t="e">
        <f t="shared" si="36"/>
        <v>#DIV/0!</v>
      </c>
      <c r="P91" s="204" t="e">
        <f t="shared" si="36"/>
        <v>#DIV/0!</v>
      </c>
      <c r="Q91" s="204" t="e">
        <f t="shared" si="36"/>
        <v>#DIV/0!</v>
      </c>
      <c r="R91" s="204" t="e">
        <f t="shared" si="36"/>
        <v>#DIV/0!</v>
      </c>
      <c r="S91" s="204" t="e">
        <f t="shared" si="36"/>
        <v>#DIV/0!</v>
      </c>
      <c r="T91" s="204">
        <f t="shared" si="36"/>
        <v>0</v>
      </c>
      <c r="U91" s="204" t="e">
        <f t="shared" ref="U91:W91" si="37">IF(ISNUMBER(U87),U88/U87*100,"")</f>
        <v>#DIV/0!</v>
      </c>
      <c r="V91" s="204" t="e">
        <f t="shared" si="37"/>
        <v>#DIV/0!</v>
      </c>
      <c r="W91" s="204" t="e">
        <f t="shared" si="37"/>
        <v>#DIV/0!</v>
      </c>
      <c r="X91" s="204"/>
      <c r="Y91" s="229" t="e">
        <f>Y88/Y86*100</f>
        <v>#DIV/0!</v>
      </c>
      <c r="Z91" s="233"/>
      <c r="AA91" s="234"/>
      <c r="AB91" s="218"/>
    </row>
    <row r="92" spans="1:28" s="2" customFormat="1" ht="16.899999999999999" customHeight="1" x14ac:dyDescent="0.25">
      <c r="A92" s="252"/>
      <c r="B92" s="269"/>
      <c r="C92" s="269"/>
      <c r="D92" s="256" t="s">
        <v>77</v>
      </c>
      <c r="E92" s="256">
        <f>COUNTIF($H$6:$H$84,D92)</f>
        <v>0</v>
      </c>
      <c r="F92" s="268">
        <f>E92+E94</f>
        <v>0</v>
      </c>
      <c r="G92" s="248" t="s">
        <v>171</v>
      </c>
      <c r="H92" s="248"/>
      <c r="I92" s="248"/>
      <c r="J92" s="113">
        <f>COUNTIF(J6:J84,"&gt;=95")</f>
        <v>0</v>
      </c>
      <c r="K92" s="113">
        <f t="shared" ref="K92:W92" si="38">COUNTIF(K6:K84,"&gt;=95")</f>
        <v>0</v>
      </c>
      <c r="L92" s="113">
        <f t="shared" si="38"/>
        <v>0</v>
      </c>
      <c r="M92" s="113">
        <f t="shared" si="38"/>
        <v>0</v>
      </c>
      <c r="N92" s="113">
        <f t="shared" si="38"/>
        <v>0</v>
      </c>
      <c r="O92" s="113">
        <f t="shared" si="38"/>
        <v>0</v>
      </c>
      <c r="P92" s="113">
        <f t="shared" si="38"/>
        <v>0</v>
      </c>
      <c r="Q92" s="113">
        <f t="shared" si="38"/>
        <v>0</v>
      </c>
      <c r="R92" s="113">
        <f t="shared" si="38"/>
        <v>0</v>
      </c>
      <c r="S92" s="113">
        <f t="shared" si="38"/>
        <v>0</v>
      </c>
      <c r="T92" s="113">
        <f t="shared" si="38"/>
        <v>0</v>
      </c>
      <c r="U92" s="113">
        <f t="shared" si="38"/>
        <v>0</v>
      </c>
      <c r="V92" s="113">
        <f t="shared" si="38"/>
        <v>0</v>
      </c>
      <c r="W92" s="113">
        <f t="shared" si="38"/>
        <v>0</v>
      </c>
      <c r="X92" s="113">
        <f>COUNTIF(X6:X84,"&gt;=475")</f>
        <v>0</v>
      </c>
      <c r="Y92" s="113">
        <f t="shared" ref="Y92" si="39">COUNTIF(Y6:Y84,"&gt;=95")</f>
        <v>0</v>
      </c>
      <c r="Z92" s="233"/>
      <c r="AA92" s="234"/>
      <c r="AB92" s="112"/>
    </row>
    <row r="93" spans="1:28" s="2" customFormat="1" ht="16.899999999999999" customHeight="1" x14ac:dyDescent="0.25">
      <c r="A93" s="252"/>
      <c r="B93" s="269" t="s">
        <v>258</v>
      </c>
      <c r="C93" s="269">
        <f>COUNTIF($B$6:$B$84,"11")</f>
        <v>0</v>
      </c>
      <c r="D93" s="256"/>
      <c r="E93" s="256"/>
      <c r="F93" s="268"/>
      <c r="G93" s="249" t="s">
        <v>268</v>
      </c>
      <c r="H93" s="249"/>
      <c r="I93" s="249"/>
      <c r="J93" s="230">
        <f>COUNTIF(J6:J84,"&gt;=90")</f>
        <v>0</v>
      </c>
      <c r="K93" s="230">
        <f t="shared" ref="K93:W93" si="40">COUNTIF(K6:K84,"&gt;=90")</f>
        <v>0</v>
      </c>
      <c r="L93" s="230">
        <f t="shared" si="40"/>
        <v>0</v>
      </c>
      <c r="M93" s="230">
        <f t="shared" si="40"/>
        <v>0</v>
      </c>
      <c r="N93" s="230">
        <f t="shared" si="40"/>
        <v>0</v>
      </c>
      <c r="O93" s="230">
        <f t="shared" si="40"/>
        <v>0</v>
      </c>
      <c r="P93" s="230">
        <f t="shared" si="40"/>
        <v>0</v>
      </c>
      <c r="Q93" s="230">
        <f t="shared" si="40"/>
        <v>0</v>
      </c>
      <c r="R93" s="230">
        <f t="shared" si="40"/>
        <v>0</v>
      </c>
      <c r="S93" s="230">
        <f t="shared" si="40"/>
        <v>0</v>
      </c>
      <c r="T93" s="230">
        <f t="shared" si="40"/>
        <v>0</v>
      </c>
      <c r="U93" s="230">
        <f t="shared" si="40"/>
        <v>0</v>
      </c>
      <c r="V93" s="230">
        <f t="shared" si="40"/>
        <v>0</v>
      </c>
      <c r="W93" s="230">
        <f t="shared" si="40"/>
        <v>0</v>
      </c>
      <c r="X93" s="230">
        <f>COUNTIF(X6:X84,"&gt;=450")</f>
        <v>0</v>
      </c>
      <c r="Y93" s="230">
        <f t="shared" ref="Y93" si="41">COUNTIF(Y6:Y84,"&gt;=90")</f>
        <v>0</v>
      </c>
      <c r="Z93" s="233"/>
      <c r="AA93" s="234"/>
      <c r="AB93" s="218"/>
    </row>
    <row r="94" spans="1:28" s="2" customFormat="1" ht="16.899999999999999" customHeight="1" x14ac:dyDescent="0.25">
      <c r="A94" s="252"/>
      <c r="B94" s="269"/>
      <c r="C94" s="269"/>
      <c r="D94" s="256" t="s">
        <v>78</v>
      </c>
      <c r="E94" s="256">
        <f>COUNTIF($H$6:$H$84,D94)</f>
        <v>0</v>
      </c>
      <c r="F94" s="268"/>
      <c r="G94" s="248" t="s">
        <v>266</v>
      </c>
      <c r="H94" s="248"/>
      <c r="I94" s="248"/>
      <c r="J94" s="113">
        <f>COUNTIFS(J6:J84,"&gt;=90",J6:J84,"&lt;95")</f>
        <v>0</v>
      </c>
      <c r="K94" s="113">
        <f t="shared" ref="K94:W94" si="42">COUNTIFS(K6:K84,"&gt;=90",K6:K84,"&lt;95")</f>
        <v>0</v>
      </c>
      <c r="L94" s="113">
        <f t="shared" si="42"/>
        <v>0</v>
      </c>
      <c r="M94" s="113">
        <f t="shared" si="42"/>
        <v>0</v>
      </c>
      <c r="N94" s="113">
        <f t="shared" si="42"/>
        <v>0</v>
      </c>
      <c r="O94" s="113">
        <f t="shared" si="42"/>
        <v>0</v>
      </c>
      <c r="P94" s="113">
        <f t="shared" si="42"/>
        <v>0</v>
      </c>
      <c r="Q94" s="113">
        <f t="shared" si="42"/>
        <v>0</v>
      </c>
      <c r="R94" s="113">
        <f t="shared" si="42"/>
        <v>0</v>
      </c>
      <c r="S94" s="113">
        <f t="shared" si="42"/>
        <v>0</v>
      </c>
      <c r="T94" s="113">
        <f t="shared" si="42"/>
        <v>0</v>
      </c>
      <c r="U94" s="113">
        <f t="shared" si="42"/>
        <v>0</v>
      </c>
      <c r="V94" s="113">
        <f t="shared" si="42"/>
        <v>0</v>
      </c>
      <c r="W94" s="113">
        <f t="shared" si="42"/>
        <v>0</v>
      </c>
      <c r="X94" s="113">
        <f>COUNTIFS(X6:X84,"&gt;=450",X6:X84,"&lt;475")</f>
        <v>0</v>
      </c>
      <c r="Y94" s="113">
        <f t="shared" ref="Y94" si="43">COUNTIFS(Y6:Y84,"&gt;=90",Y6:Y84,"&lt;95")</f>
        <v>0</v>
      </c>
      <c r="Z94" s="233"/>
      <c r="AA94" s="234"/>
      <c r="AB94" s="111"/>
    </row>
    <row r="95" spans="1:28" s="2" customFormat="1" ht="16.899999999999999" customHeight="1" x14ac:dyDescent="0.25">
      <c r="A95" s="252"/>
      <c r="B95" s="269"/>
      <c r="C95" s="269"/>
      <c r="D95" s="256"/>
      <c r="E95" s="256"/>
      <c r="F95" s="268"/>
      <c r="G95" s="254" t="s">
        <v>267</v>
      </c>
      <c r="H95" s="255"/>
      <c r="I95" s="253"/>
      <c r="J95" s="206">
        <f>COUNTIFS(J$6:J$84,"&gt;=75",J$6:J$84,"&lt;90")</f>
        <v>0</v>
      </c>
      <c r="K95" s="206">
        <f t="shared" ref="K95:Y95" si="44">COUNTIFS(K$6:K$84,"&gt;=75",K$6:K$84,"&lt;90")</f>
        <v>0</v>
      </c>
      <c r="L95" s="206">
        <f t="shared" si="44"/>
        <v>0</v>
      </c>
      <c r="M95" s="206">
        <f t="shared" si="44"/>
        <v>0</v>
      </c>
      <c r="N95" s="206">
        <f t="shared" si="44"/>
        <v>0</v>
      </c>
      <c r="O95" s="206">
        <f t="shared" si="44"/>
        <v>0</v>
      </c>
      <c r="P95" s="206">
        <f t="shared" si="44"/>
        <v>0</v>
      </c>
      <c r="Q95" s="206">
        <f t="shared" si="44"/>
        <v>0</v>
      </c>
      <c r="R95" s="206">
        <f t="shared" si="44"/>
        <v>0</v>
      </c>
      <c r="S95" s="206">
        <f t="shared" si="44"/>
        <v>0</v>
      </c>
      <c r="T95" s="206">
        <f t="shared" si="44"/>
        <v>0</v>
      </c>
      <c r="U95" s="206">
        <f t="shared" si="44"/>
        <v>0</v>
      </c>
      <c r="V95" s="206">
        <f t="shared" si="44"/>
        <v>0</v>
      </c>
      <c r="W95" s="206">
        <f t="shared" si="44"/>
        <v>0</v>
      </c>
      <c r="X95" s="206">
        <f>COUNTIFS(X$6:X$84,"&gt;=375",X$6:X$84,"&lt;450")</f>
        <v>0</v>
      </c>
      <c r="Y95" s="206">
        <f t="shared" si="44"/>
        <v>0</v>
      </c>
      <c r="Z95" s="233"/>
      <c r="AA95" s="234"/>
      <c r="AB95" s="218"/>
    </row>
    <row r="96" spans="1:28" s="2" customFormat="1" ht="16.899999999999999" customHeight="1" x14ac:dyDescent="0.25">
      <c r="A96" s="252"/>
      <c r="B96" s="269"/>
      <c r="C96" s="270"/>
      <c r="D96" s="250" t="s">
        <v>79</v>
      </c>
      <c r="E96" s="250">
        <f>COUNTIF($G$6:$G$84,D96)</f>
        <v>0</v>
      </c>
      <c r="F96" s="251">
        <f>E96+E98+E100+E102</f>
        <v>0</v>
      </c>
      <c r="G96" s="248" t="s">
        <v>260</v>
      </c>
      <c r="H96" s="248"/>
      <c r="I96" s="248"/>
      <c r="J96" s="222">
        <f>COUNTIF(J$6:J$84,"&gt;=75")</f>
        <v>0</v>
      </c>
      <c r="K96" s="222">
        <f t="shared" ref="K96:Y96" si="45">COUNTIF(K$6:K$84,"&gt;=75")</f>
        <v>0</v>
      </c>
      <c r="L96" s="222">
        <f t="shared" si="45"/>
        <v>0</v>
      </c>
      <c r="M96" s="222">
        <f t="shared" si="45"/>
        <v>0</v>
      </c>
      <c r="N96" s="222">
        <f t="shared" si="45"/>
        <v>0</v>
      </c>
      <c r="O96" s="222">
        <f t="shared" si="45"/>
        <v>0</v>
      </c>
      <c r="P96" s="222">
        <f t="shared" si="45"/>
        <v>0</v>
      </c>
      <c r="Q96" s="222">
        <f t="shared" si="45"/>
        <v>0</v>
      </c>
      <c r="R96" s="222">
        <f t="shared" si="45"/>
        <v>0</v>
      </c>
      <c r="S96" s="222">
        <f t="shared" si="45"/>
        <v>0</v>
      </c>
      <c r="T96" s="222">
        <f t="shared" si="45"/>
        <v>0</v>
      </c>
      <c r="U96" s="222">
        <f t="shared" si="45"/>
        <v>0</v>
      </c>
      <c r="V96" s="222">
        <f t="shared" si="45"/>
        <v>0</v>
      </c>
      <c r="W96" s="222">
        <f t="shared" si="45"/>
        <v>0</v>
      </c>
      <c r="X96" s="113">
        <f>COUNTIF($X$6:$X$84,"&gt;=375")</f>
        <v>0</v>
      </c>
      <c r="Y96" s="222">
        <f t="shared" si="45"/>
        <v>0</v>
      </c>
      <c r="Z96" s="233"/>
      <c r="AA96" s="234"/>
      <c r="AB96" s="111"/>
    </row>
    <row r="97" spans="1:28" s="2" customFormat="1" ht="16.899999999999999" customHeight="1" x14ac:dyDescent="0.25">
      <c r="A97" s="242" t="s">
        <v>29</v>
      </c>
      <c r="B97" s="243"/>
      <c r="C97" s="239">
        <f>SUM(C93+C89+C85)</f>
        <v>0</v>
      </c>
      <c r="D97" s="250"/>
      <c r="E97" s="250"/>
      <c r="F97" s="251"/>
      <c r="G97" s="249" t="s">
        <v>261</v>
      </c>
      <c r="H97" s="249"/>
      <c r="I97" s="249"/>
      <c r="J97" s="206">
        <f>COUNTIFS(J$6:J$84,"&gt;=60",J$6:J$84,"&lt;75")</f>
        <v>0</v>
      </c>
      <c r="K97" s="206">
        <f t="shared" ref="K97:Y97" si="46">COUNTIFS(K$6:K$84,"&gt;=60",K$6:K$84,"&lt;75")</f>
        <v>0</v>
      </c>
      <c r="L97" s="206">
        <f t="shared" si="46"/>
        <v>0</v>
      </c>
      <c r="M97" s="206">
        <f t="shared" si="46"/>
        <v>0</v>
      </c>
      <c r="N97" s="206">
        <f t="shared" si="46"/>
        <v>0</v>
      </c>
      <c r="O97" s="206">
        <f t="shared" si="46"/>
        <v>0</v>
      </c>
      <c r="P97" s="206">
        <f t="shared" si="46"/>
        <v>0</v>
      </c>
      <c r="Q97" s="206">
        <f t="shared" si="46"/>
        <v>0</v>
      </c>
      <c r="R97" s="206">
        <f t="shared" si="46"/>
        <v>0</v>
      </c>
      <c r="S97" s="206">
        <f t="shared" si="46"/>
        <v>0</v>
      </c>
      <c r="T97" s="206">
        <f t="shared" si="46"/>
        <v>0</v>
      </c>
      <c r="U97" s="206">
        <f t="shared" si="46"/>
        <v>0</v>
      </c>
      <c r="V97" s="206">
        <f t="shared" si="46"/>
        <v>0</v>
      </c>
      <c r="W97" s="206">
        <f t="shared" si="46"/>
        <v>0</v>
      </c>
      <c r="X97" s="206">
        <f>COUNTIFS($X$6:$X$84,"&gt;=300",$X$6:$X$84,"&lt;375")</f>
        <v>0</v>
      </c>
      <c r="Y97" s="206">
        <f t="shared" si="46"/>
        <v>0</v>
      </c>
      <c r="Z97" s="233"/>
      <c r="AA97" s="234"/>
      <c r="AB97" s="219"/>
    </row>
    <row r="98" spans="1:28" s="2" customFormat="1" ht="16.899999999999999" customHeight="1" x14ac:dyDescent="0.25">
      <c r="A98" s="244"/>
      <c r="B98" s="245"/>
      <c r="C98" s="240"/>
      <c r="D98" s="250" t="s">
        <v>74</v>
      </c>
      <c r="E98" s="250">
        <f>COUNTIF($G$6:$G$84,D98)</f>
        <v>0</v>
      </c>
      <c r="F98" s="251"/>
      <c r="G98" s="248" t="s">
        <v>262</v>
      </c>
      <c r="H98" s="248"/>
      <c r="I98" s="248"/>
      <c r="J98" s="222">
        <f>COUNTIFS(J$6:J$84,"&gt;=50",J$6:J$84,"&lt;60")</f>
        <v>0</v>
      </c>
      <c r="K98" s="222">
        <f t="shared" ref="K98:Y98" si="47">COUNTIFS(K$6:K$84,"&gt;=50",K$6:K$84,"&lt;60")</f>
        <v>0</v>
      </c>
      <c r="L98" s="222">
        <f t="shared" si="47"/>
        <v>0</v>
      </c>
      <c r="M98" s="222">
        <f t="shared" si="47"/>
        <v>0</v>
      </c>
      <c r="N98" s="222">
        <f t="shared" si="47"/>
        <v>0</v>
      </c>
      <c r="O98" s="222">
        <f t="shared" si="47"/>
        <v>0</v>
      </c>
      <c r="P98" s="222">
        <f t="shared" si="47"/>
        <v>0</v>
      </c>
      <c r="Q98" s="222">
        <f t="shared" si="47"/>
        <v>0</v>
      </c>
      <c r="R98" s="222">
        <f t="shared" si="47"/>
        <v>0</v>
      </c>
      <c r="S98" s="222">
        <f t="shared" si="47"/>
        <v>0</v>
      </c>
      <c r="T98" s="222">
        <f t="shared" si="47"/>
        <v>0</v>
      </c>
      <c r="U98" s="222">
        <f t="shared" si="47"/>
        <v>0</v>
      </c>
      <c r="V98" s="222">
        <f t="shared" si="47"/>
        <v>0</v>
      </c>
      <c r="W98" s="222">
        <f t="shared" si="47"/>
        <v>0</v>
      </c>
      <c r="X98" s="113">
        <f>COUNTIFS($X$6:$X$84,"&gt;=250",$X$6:$X$84,"&lt;300")</f>
        <v>0</v>
      </c>
      <c r="Y98" s="222">
        <f t="shared" si="47"/>
        <v>0</v>
      </c>
      <c r="Z98" s="233"/>
      <c r="AA98" s="234"/>
      <c r="AB98" s="111"/>
    </row>
    <row r="99" spans="1:28" s="2" customFormat="1" ht="16.899999999999999" customHeight="1" x14ac:dyDescent="0.25">
      <c r="A99" s="244"/>
      <c r="B99" s="245"/>
      <c r="C99" s="240"/>
      <c r="D99" s="250"/>
      <c r="E99" s="250"/>
      <c r="F99" s="251"/>
      <c r="G99" s="249" t="s">
        <v>263</v>
      </c>
      <c r="H99" s="249"/>
      <c r="I99" s="249"/>
      <c r="J99" s="206">
        <f>COUNTIFS(J$6:J$84,"&gt;=33",J$6:J$84,"&lt;50")</f>
        <v>0</v>
      </c>
      <c r="K99" s="206">
        <f t="shared" ref="K99:Y99" si="48">COUNTIFS(K$6:K$84,"&gt;=33",K$6:K$84,"&lt;50")</f>
        <v>0</v>
      </c>
      <c r="L99" s="206">
        <f t="shared" si="48"/>
        <v>0</v>
      </c>
      <c r="M99" s="206">
        <f t="shared" si="48"/>
        <v>0</v>
      </c>
      <c r="N99" s="206">
        <f t="shared" si="48"/>
        <v>0</v>
      </c>
      <c r="O99" s="206">
        <f t="shared" si="48"/>
        <v>0</v>
      </c>
      <c r="P99" s="206">
        <f t="shared" si="48"/>
        <v>0</v>
      </c>
      <c r="Q99" s="206">
        <f t="shared" si="48"/>
        <v>0</v>
      </c>
      <c r="R99" s="206">
        <f t="shared" si="48"/>
        <v>0</v>
      </c>
      <c r="S99" s="206">
        <f t="shared" si="48"/>
        <v>0</v>
      </c>
      <c r="T99" s="206">
        <f t="shared" si="48"/>
        <v>0</v>
      </c>
      <c r="U99" s="206">
        <f t="shared" si="48"/>
        <v>0</v>
      </c>
      <c r="V99" s="206">
        <f t="shared" si="48"/>
        <v>0</v>
      </c>
      <c r="W99" s="206">
        <f t="shared" si="48"/>
        <v>0</v>
      </c>
      <c r="X99" s="206">
        <f>COUNTIFS($X$6:$X$84,"&gt;=165",$X$6:$X$84,"&lt;250")</f>
        <v>0</v>
      </c>
      <c r="Y99" s="206">
        <f t="shared" si="48"/>
        <v>0</v>
      </c>
      <c r="Z99" s="233"/>
      <c r="AA99" s="234"/>
      <c r="AB99" s="218"/>
    </row>
    <row r="100" spans="1:28" s="2" customFormat="1" ht="16.899999999999999" customHeight="1" x14ac:dyDescent="0.25">
      <c r="A100" s="244"/>
      <c r="B100" s="245"/>
      <c r="C100" s="240"/>
      <c r="D100" s="250" t="s">
        <v>26</v>
      </c>
      <c r="E100" s="250">
        <f>COUNTIF($G$6:$G$84,D100)</f>
        <v>0</v>
      </c>
      <c r="F100" s="251"/>
      <c r="G100" s="248" t="s">
        <v>264</v>
      </c>
      <c r="H100" s="248"/>
      <c r="I100" s="248"/>
      <c r="J100" s="222">
        <f>COUNTIF(J$6:J$84,"&lt;33")</f>
        <v>0</v>
      </c>
      <c r="K100" s="222">
        <f t="shared" ref="K100:Y100" si="49">COUNTIF(K$6:K$84,"&lt;33")</f>
        <v>0</v>
      </c>
      <c r="L100" s="222">
        <f t="shared" si="49"/>
        <v>0</v>
      </c>
      <c r="M100" s="222">
        <f t="shared" si="49"/>
        <v>0</v>
      </c>
      <c r="N100" s="222">
        <f t="shared" si="49"/>
        <v>0</v>
      </c>
      <c r="O100" s="222">
        <f t="shared" si="49"/>
        <v>0</v>
      </c>
      <c r="P100" s="222">
        <f t="shared" si="49"/>
        <v>0</v>
      </c>
      <c r="Q100" s="222">
        <f t="shared" si="49"/>
        <v>0</v>
      </c>
      <c r="R100" s="222">
        <f t="shared" si="49"/>
        <v>0</v>
      </c>
      <c r="S100" s="222">
        <f t="shared" si="49"/>
        <v>0</v>
      </c>
      <c r="T100" s="222">
        <f t="shared" si="49"/>
        <v>1</v>
      </c>
      <c r="U100" s="222">
        <f t="shared" si="49"/>
        <v>0</v>
      </c>
      <c r="V100" s="222">
        <f t="shared" si="49"/>
        <v>0</v>
      </c>
      <c r="W100" s="222">
        <f t="shared" si="49"/>
        <v>0</v>
      </c>
      <c r="X100" s="113">
        <f>COUNTIF($X$6:$X$84,"&lt;165")</f>
        <v>0</v>
      </c>
      <c r="Y100" s="222">
        <f t="shared" si="49"/>
        <v>0</v>
      </c>
      <c r="Z100" s="233"/>
      <c r="AA100" s="234"/>
      <c r="AB100" s="111"/>
    </row>
    <row r="101" spans="1:28" s="2" customFormat="1" ht="16.899999999999999" customHeight="1" x14ac:dyDescent="0.25">
      <c r="A101" s="244"/>
      <c r="B101" s="245"/>
      <c r="C101" s="240"/>
      <c r="D101" s="250"/>
      <c r="E101" s="250"/>
      <c r="F101" s="251"/>
      <c r="G101" s="249" t="s">
        <v>175</v>
      </c>
      <c r="H101" s="249"/>
      <c r="I101" s="249"/>
      <c r="J101" s="205">
        <f t="shared" ref="J101" si="50">COUNTIF(J6:J84,"&gt;=60")</f>
        <v>0</v>
      </c>
      <c r="K101" s="205">
        <f t="shared" ref="K101:W101" si="51">COUNTIF(K6:K84,"&gt;=60")</f>
        <v>0</v>
      </c>
      <c r="L101" s="205">
        <f t="shared" si="51"/>
        <v>0</v>
      </c>
      <c r="M101" s="205">
        <f t="shared" si="51"/>
        <v>0</v>
      </c>
      <c r="N101" s="205">
        <f t="shared" si="51"/>
        <v>0</v>
      </c>
      <c r="O101" s="205">
        <f t="shared" si="51"/>
        <v>0</v>
      </c>
      <c r="P101" s="205">
        <f t="shared" si="51"/>
        <v>0</v>
      </c>
      <c r="Q101" s="205">
        <f t="shared" si="51"/>
        <v>0</v>
      </c>
      <c r="R101" s="205">
        <f t="shared" si="51"/>
        <v>0</v>
      </c>
      <c r="S101" s="205">
        <f t="shared" si="51"/>
        <v>0</v>
      </c>
      <c r="T101" s="205">
        <f t="shared" si="51"/>
        <v>0</v>
      </c>
      <c r="U101" s="205">
        <f t="shared" si="51"/>
        <v>0</v>
      </c>
      <c r="V101" s="205">
        <f t="shared" si="51"/>
        <v>0</v>
      </c>
      <c r="W101" s="205">
        <f t="shared" si="51"/>
        <v>0</v>
      </c>
      <c r="X101" s="206">
        <f>COUNTIF($X$6:$X$84,"&gt;=300")</f>
        <v>0</v>
      </c>
      <c r="Y101" s="205">
        <f t="shared" ref="Y101" si="52">COUNTIF(Y6:Y84,"&gt;=60")</f>
        <v>0</v>
      </c>
      <c r="Z101" s="233"/>
      <c r="AA101" s="234"/>
      <c r="AB101" s="220"/>
    </row>
    <row r="102" spans="1:28" s="2" customFormat="1" ht="16.899999999999999" customHeight="1" x14ac:dyDescent="0.25">
      <c r="A102" s="244"/>
      <c r="B102" s="245"/>
      <c r="C102" s="240"/>
      <c r="D102" s="250" t="s">
        <v>27</v>
      </c>
      <c r="E102" s="250">
        <f>COUNTIF($G$6:$G$84,D102)</f>
        <v>0</v>
      </c>
      <c r="F102" s="251"/>
      <c r="G102" s="248" t="s">
        <v>176</v>
      </c>
      <c r="H102" s="248"/>
      <c r="I102" s="248"/>
      <c r="J102" s="115" t="e">
        <f t="shared" ref="J102:R102" si="53">(J101/J87)*100</f>
        <v>#DIV/0!</v>
      </c>
      <c r="K102" s="115" t="e">
        <f t="shared" si="53"/>
        <v>#DIV/0!</v>
      </c>
      <c r="L102" s="115" t="e">
        <f t="shared" si="53"/>
        <v>#DIV/0!</v>
      </c>
      <c r="M102" s="115" t="e">
        <f t="shared" si="53"/>
        <v>#DIV/0!</v>
      </c>
      <c r="N102" s="115" t="e">
        <f t="shared" si="53"/>
        <v>#DIV/0!</v>
      </c>
      <c r="O102" s="115" t="e">
        <f t="shared" si="53"/>
        <v>#DIV/0!</v>
      </c>
      <c r="P102" s="115" t="e">
        <f t="shared" si="53"/>
        <v>#DIV/0!</v>
      </c>
      <c r="Q102" s="115" t="e">
        <f t="shared" si="53"/>
        <v>#DIV/0!</v>
      </c>
      <c r="R102" s="115" t="e">
        <f t="shared" si="53"/>
        <v>#DIV/0!</v>
      </c>
      <c r="S102" s="115" t="e">
        <f>(S101/S87)*100</f>
        <v>#DIV/0!</v>
      </c>
      <c r="T102" s="115">
        <f>(T101/T87)*100</f>
        <v>0</v>
      </c>
      <c r="U102" s="115" t="e">
        <f t="shared" ref="U102:W102" si="54">(U101/U87)*100</f>
        <v>#DIV/0!</v>
      </c>
      <c r="V102" s="115" t="e">
        <f t="shared" si="54"/>
        <v>#DIV/0!</v>
      </c>
      <c r="W102" s="115" t="e">
        <f t="shared" si="54"/>
        <v>#DIV/0!</v>
      </c>
      <c r="X102" s="115" t="e">
        <f t="shared" ref="X102" si="55">(X101/X87)*100</f>
        <v>#DIV/0!</v>
      </c>
      <c r="Y102" s="115" t="e">
        <f t="shared" ref="Y102" si="56">(Y101/Y87)*100</f>
        <v>#DIV/0!</v>
      </c>
      <c r="Z102" s="233"/>
      <c r="AA102" s="234"/>
      <c r="AB102" s="217"/>
    </row>
    <row r="103" spans="1:28" s="2" customFormat="1" ht="16.899999999999999" customHeight="1" x14ac:dyDescent="0.25">
      <c r="A103" s="246"/>
      <c r="B103" s="247"/>
      <c r="C103" s="241"/>
      <c r="D103" s="250"/>
      <c r="E103" s="250"/>
      <c r="F103" s="251"/>
      <c r="G103" s="249" t="s">
        <v>177</v>
      </c>
      <c r="H103" s="249"/>
      <c r="I103" s="249"/>
      <c r="J103" s="204" t="e">
        <f t="shared" ref="J103:R103" si="57">COUNTIF(J6:J84,"&gt;=75")/J87</f>
        <v>#DIV/0!</v>
      </c>
      <c r="K103" s="204" t="e">
        <f t="shared" si="57"/>
        <v>#DIV/0!</v>
      </c>
      <c r="L103" s="204" t="e">
        <f t="shared" si="57"/>
        <v>#DIV/0!</v>
      </c>
      <c r="M103" s="204" t="e">
        <f t="shared" si="57"/>
        <v>#DIV/0!</v>
      </c>
      <c r="N103" s="204" t="e">
        <f t="shared" si="57"/>
        <v>#DIV/0!</v>
      </c>
      <c r="O103" s="204" t="e">
        <f t="shared" si="57"/>
        <v>#DIV/0!</v>
      </c>
      <c r="P103" s="204" t="e">
        <f t="shared" si="57"/>
        <v>#DIV/0!</v>
      </c>
      <c r="Q103" s="204" t="e">
        <f t="shared" si="57"/>
        <v>#DIV/0!</v>
      </c>
      <c r="R103" s="204" t="e">
        <f t="shared" si="57"/>
        <v>#DIV/0!</v>
      </c>
      <c r="S103" s="204" t="e">
        <f t="shared" ref="S103" si="58">COUNTIF(S6:S84,"&gt;=75")/S87</f>
        <v>#DIV/0!</v>
      </c>
      <c r="T103" s="204">
        <f t="shared" ref="T103:W103" si="59">COUNTIF(T6:T84,"&gt;=75")/T87</f>
        <v>0</v>
      </c>
      <c r="U103" s="204" t="e">
        <f t="shared" si="59"/>
        <v>#DIV/0!</v>
      </c>
      <c r="V103" s="204" t="e">
        <f t="shared" si="59"/>
        <v>#DIV/0!</v>
      </c>
      <c r="W103" s="204" t="e">
        <f t="shared" si="59"/>
        <v>#DIV/0!</v>
      </c>
      <c r="X103" s="204" t="e">
        <f>COUNTIF(X6:X84,"&gt;=375")/X87</f>
        <v>#DIV/0!</v>
      </c>
      <c r="Y103" s="204" t="e">
        <f t="shared" ref="Y103" si="60">COUNTIF(Y6:Y84,"&gt;=75")/Y87</f>
        <v>#DIV/0!</v>
      </c>
      <c r="Z103" s="235"/>
      <c r="AA103" s="236"/>
      <c r="AB103" s="220"/>
    </row>
    <row r="104" spans="1:28" ht="18.600000000000001" customHeight="1" x14ac:dyDescent="0.25">
      <c r="D104" s="214"/>
      <c r="E104" s="214"/>
      <c r="F104" s="214"/>
    </row>
    <row r="105" spans="1:28" ht="15.75" x14ac:dyDescent="0.25">
      <c r="D105" s="214"/>
      <c r="E105" s="214"/>
      <c r="F105" s="214"/>
    </row>
    <row r="106" spans="1:28" ht="15.75" x14ac:dyDescent="0.25">
      <c r="D106" s="214"/>
      <c r="E106" s="214"/>
      <c r="F106" s="214"/>
    </row>
    <row r="107" spans="1:28" ht="15.75" x14ac:dyDescent="0.25">
      <c r="D107" s="214"/>
      <c r="E107" s="214"/>
      <c r="F107" s="214"/>
    </row>
    <row r="108" spans="1:28" ht="15.75" x14ac:dyDescent="0.25">
      <c r="D108" s="214"/>
      <c r="E108" s="214"/>
      <c r="F108" s="214"/>
    </row>
    <row r="109" spans="1:28" ht="15.75" x14ac:dyDescent="0.25">
      <c r="D109" s="215"/>
      <c r="E109" s="215"/>
      <c r="F109" s="215"/>
    </row>
  </sheetData>
  <sheetProtection algorithmName="SHA-512" hashValue="cEL4E2XhCEYzKWO5EEUYS2l5qH5218NH+MHXjcaeL+SYWKDaA5+6BA24jUY2nKZMZ7vMN5afcl2zh5ndcvnO9Q==" saltValue="T1Ov145l5kGwfFSDbdtE2w==" spinCount="100000" sheet="1" objects="1" scenarios="1"/>
  <autoFilter ref="A5:AA103"/>
  <mergeCells count="64">
    <mergeCell ref="G103:I103"/>
    <mergeCell ref="A2:Z2"/>
    <mergeCell ref="T3:Y3"/>
    <mergeCell ref="A3:D3"/>
    <mergeCell ref="E3:F3"/>
    <mergeCell ref="H3:K3"/>
    <mergeCell ref="L3:N3"/>
    <mergeCell ref="J4:W4"/>
    <mergeCell ref="C85:C88"/>
    <mergeCell ref="B85:B88"/>
    <mergeCell ref="B89:B92"/>
    <mergeCell ref="C89:C92"/>
    <mergeCell ref="B93:B96"/>
    <mergeCell ref="C93:C96"/>
    <mergeCell ref="AB1:AB4"/>
    <mergeCell ref="L1:Z1"/>
    <mergeCell ref="P3:S3"/>
    <mergeCell ref="X4:Z4"/>
    <mergeCell ref="A4:I4"/>
    <mergeCell ref="A1:K1"/>
    <mergeCell ref="D88:D89"/>
    <mergeCell ref="E88:E89"/>
    <mergeCell ref="D90:D91"/>
    <mergeCell ref="F88:F91"/>
    <mergeCell ref="E92:E93"/>
    <mergeCell ref="D92:D93"/>
    <mergeCell ref="F92:F95"/>
    <mergeCell ref="G97:I97"/>
    <mergeCell ref="D96:D97"/>
    <mergeCell ref="E96:E97"/>
    <mergeCell ref="E94:E95"/>
    <mergeCell ref="D94:D95"/>
    <mergeCell ref="A85:A96"/>
    <mergeCell ref="G86:I86"/>
    <mergeCell ref="G85:I85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E85:F87"/>
    <mergeCell ref="D85:D87"/>
    <mergeCell ref="E90:E91"/>
    <mergeCell ref="Z85:AA103"/>
    <mergeCell ref="AB86:AB87"/>
    <mergeCell ref="C97:C103"/>
    <mergeCell ref="A97:B103"/>
    <mergeCell ref="G98:I98"/>
    <mergeCell ref="G99:I99"/>
    <mergeCell ref="G100:I100"/>
    <mergeCell ref="G101:I101"/>
    <mergeCell ref="G102:I102"/>
    <mergeCell ref="D102:D103"/>
    <mergeCell ref="E102:E103"/>
    <mergeCell ref="F96:F103"/>
    <mergeCell ref="D98:D99"/>
    <mergeCell ref="E98:E99"/>
    <mergeCell ref="D100:D101"/>
    <mergeCell ref="E100:E101"/>
  </mergeCells>
  <conditionalFormatting sqref="A6:AA6 A7:C61 E7:AA61 D7:D84">
    <cfRule type="expression" dxfId="7" priority="6">
      <formula>MOD(ROW(),2)</formula>
    </cfRule>
  </conditionalFormatting>
  <conditionalFormatting sqref="J86:Y103 J85:Z85 AB85:AB103">
    <cfRule type="expression" dxfId="6" priority="5">
      <formula>MOD(ROW(),2)</formula>
    </cfRule>
  </conditionalFormatting>
  <conditionalFormatting sqref="A62:C84 E62:AA84">
    <cfRule type="expression" dxfId="5" priority="4">
      <formula>MOD(ROW(),2)</formula>
    </cfRule>
  </conditionalFormatting>
  <conditionalFormatting sqref="AB6:AB84">
    <cfRule type="containsText" dxfId="4" priority="2" operator="containsText" text="OK">
      <formula>NOT(ISERROR(SEARCH("OK",AB6)))</formula>
    </cfRule>
    <cfRule type="containsText" dxfId="3" priority="3" operator="containsText" text="Fill marks of all Subjects">
      <formula>NOT(ISERROR(SEARCH("Fill marks of all Subjects",AB6)))</formula>
    </cfRule>
  </conditionalFormatting>
  <conditionalFormatting sqref="AB85:AB86 AB88:AB103">
    <cfRule type="expression" dxfId="2" priority="1">
      <formula>MOD(ROW(),2)</formula>
    </cfRule>
  </conditionalFormatting>
  <dataValidations xWindow="457" yWindow="643" count="7">
    <dataValidation type="list" allowBlank="1" showInputMessage="1" showErrorMessage="1" promptTitle="ALERT" prompt="CHOOSE FROM THE LIST" sqref="G6:G84">
      <formula1>"GEN,OBC,SC,ST"</formula1>
    </dataValidation>
    <dataValidation type="list" allowBlank="1" showInputMessage="1" showErrorMessage="1" promptTitle="ALERT" prompt="CHOOSE FROM THE LIST" sqref="H6:H84">
      <formula1>"BOY,GIRL"</formula1>
    </dataValidation>
    <dataValidation type="list" allowBlank="1" showInputMessage="1" showErrorMessage="1" promptTitle="ALERT" prompt="CHOOSE FROM THE LIST" sqref="I6:I84">
      <formula1>"RURAL,URBAN"</formula1>
    </dataValidation>
    <dataValidation type="list" allowBlank="1" showInputMessage="1" showErrorMessage="1" promptTitle="ALERT" prompt="CHOOSE FROM THE LIST" sqref="F6:F84">
      <formula1>"SCIENCE,COMMERCE,HUMANITIES"</formula1>
    </dataValidation>
    <dataValidation type="list" allowBlank="1" showInputMessage="1" showErrorMessage="1" promptTitle="Alert" prompt="Choose from the List" sqref="B6:B84">
      <formula1>"6,9,11"</formula1>
    </dataValidation>
    <dataValidation type="list" allowBlank="1" showInputMessage="1" showErrorMessage="1" promptTitle="ALERT" prompt="Select from the List" sqref="D6:D84">
      <formula1>"YES,NO"</formula1>
    </dataValidation>
    <dataValidation type="list" allowBlank="1" showInputMessage="1" showErrorMessage="1" sqref="AA6:AA84">
      <formula1>"YES,NO"</formula1>
    </dataValidation>
  </dataValidations>
  <printOptions horizontalCentered="1"/>
  <pageMargins left="0.35433070866141703" right="0.15748031496063" top="0.31496062992126" bottom="0.35433070866141703" header="0.31496062992126" footer="0.31496062992126"/>
  <pageSetup paperSize="5" scale="69" fitToHeight="2" orientation="landscape" r:id="rId1"/>
  <rowBreaks count="2" manualBreakCount="2">
    <brk id="44" max="27" man="1"/>
    <brk id="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AE16"/>
  <sheetViews>
    <sheetView view="pageBreakPreview" zoomScaleSheetLayoutView="100" workbookViewId="0">
      <selection activeCell="G1" sqref="A1:X10"/>
    </sheetView>
  </sheetViews>
  <sheetFormatPr defaultColWidth="8.85546875" defaultRowHeight="15" x14ac:dyDescent="0.25"/>
  <cols>
    <col min="1" max="1" width="3.42578125" style="54" bestFit="1" customWidth="1"/>
    <col min="2" max="2" width="8.42578125" style="3" customWidth="1"/>
    <col min="3" max="3" width="6.42578125" style="3" customWidth="1"/>
    <col min="4" max="4" width="7" style="3" customWidth="1"/>
    <col min="5" max="7" width="8" style="54" customWidth="1"/>
    <col min="8" max="13" width="5.7109375" style="54" customWidth="1"/>
    <col min="14" max="16" width="8" style="54" customWidth="1"/>
    <col min="17" max="22" width="5.7109375" style="54" customWidth="1"/>
    <col min="23" max="25" width="8" style="54" customWidth="1"/>
    <col min="26" max="31" width="5.7109375" style="54" customWidth="1"/>
    <col min="32" max="16384" width="8.85546875" style="3"/>
  </cols>
  <sheetData>
    <row r="1" spans="1:31" s="48" customFormat="1" ht="12.75" x14ac:dyDescent="0.25">
      <c r="A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392" t="s">
        <v>64</v>
      </c>
      <c r="AD1" s="392"/>
      <c r="AE1" s="392"/>
    </row>
    <row r="2" spans="1:31" s="56" customFormat="1" ht="18" x14ac:dyDescent="0.25">
      <c r="A2" s="402" t="s">
        <v>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</row>
    <row r="3" spans="1:31" ht="3.6" customHeight="1" x14ac:dyDescent="0.25"/>
    <row r="4" spans="1:31" s="60" customFormat="1" x14ac:dyDescent="0.25">
      <c r="A4" s="403" t="s">
        <v>205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</row>
    <row r="5" spans="1:31" ht="3.6" customHeight="1" thickBot="1" x14ac:dyDescent="0.3"/>
    <row r="6" spans="1:31" s="51" customFormat="1" ht="12" thickBot="1" x14ac:dyDescent="0.3">
      <c r="A6" s="293" t="s">
        <v>2</v>
      </c>
      <c r="B6" s="293" t="s">
        <v>57</v>
      </c>
      <c r="C6" s="293" t="s">
        <v>44</v>
      </c>
      <c r="D6" s="294" t="s">
        <v>45</v>
      </c>
      <c r="E6" s="294" t="s">
        <v>58</v>
      </c>
      <c r="F6" s="294"/>
      <c r="G6" s="294"/>
      <c r="H6" s="294"/>
      <c r="I6" s="294"/>
      <c r="J6" s="294"/>
      <c r="K6" s="294"/>
      <c r="L6" s="294"/>
      <c r="M6" s="294"/>
      <c r="N6" s="294" t="s">
        <v>59</v>
      </c>
      <c r="O6" s="294"/>
      <c r="P6" s="294"/>
      <c r="Q6" s="294"/>
      <c r="R6" s="294"/>
      <c r="S6" s="294"/>
      <c r="T6" s="294"/>
      <c r="U6" s="294"/>
      <c r="V6" s="294"/>
      <c r="W6" s="294" t="s">
        <v>60</v>
      </c>
      <c r="X6" s="294"/>
      <c r="Y6" s="294"/>
      <c r="Z6" s="294"/>
      <c r="AA6" s="294"/>
      <c r="AB6" s="294"/>
      <c r="AC6" s="294"/>
      <c r="AD6" s="294"/>
      <c r="AE6" s="294"/>
    </row>
    <row r="7" spans="1:31" s="51" customFormat="1" ht="12" thickBot="1" x14ac:dyDescent="0.3">
      <c r="A7" s="294"/>
      <c r="B7" s="293"/>
      <c r="C7" s="293"/>
      <c r="D7" s="294"/>
      <c r="E7" s="294" t="s">
        <v>61</v>
      </c>
      <c r="F7" s="294"/>
      <c r="G7" s="294"/>
      <c r="H7" s="294"/>
      <c r="I7" s="294"/>
      <c r="J7" s="294"/>
      <c r="K7" s="294"/>
      <c r="L7" s="294"/>
      <c r="M7" s="294"/>
      <c r="N7" s="294" t="s">
        <v>47</v>
      </c>
      <c r="O7" s="294"/>
      <c r="P7" s="294"/>
      <c r="Q7" s="294"/>
      <c r="R7" s="294"/>
      <c r="S7" s="294"/>
      <c r="T7" s="294"/>
      <c r="U7" s="294"/>
      <c r="V7" s="294"/>
      <c r="W7" s="294" t="s">
        <v>46</v>
      </c>
      <c r="X7" s="294"/>
      <c r="Y7" s="294"/>
      <c r="Z7" s="294"/>
      <c r="AA7" s="294"/>
      <c r="AB7" s="294"/>
      <c r="AC7" s="294"/>
      <c r="AD7" s="294"/>
      <c r="AE7" s="294"/>
    </row>
    <row r="8" spans="1:31" s="51" customFormat="1" ht="34.5" thickBot="1" x14ac:dyDescent="0.3">
      <c r="A8" s="397"/>
      <c r="B8" s="296"/>
      <c r="C8" s="296"/>
      <c r="D8" s="397"/>
      <c r="E8" s="52" t="s">
        <v>48</v>
      </c>
      <c r="F8" s="52" t="s">
        <v>49</v>
      </c>
      <c r="G8" s="52" t="s">
        <v>50</v>
      </c>
      <c r="H8" s="53" t="s">
        <v>51</v>
      </c>
      <c r="I8" s="53" t="s">
        <v>52</v>
      </c>
      <c r="J8" s="53" t="s">
        <v>53</v>
      </c>
      <c r="K8" s="53" t="s">
        <v>54</v>
      </c>
      <c r="L8" s="52" t="s">
        <v>55</v>
      </c>
      <c r="M8" s="52">
        <v>10</v>
      </c>
      <c r="N8" s="52" t="s">
        <v>48</v>
      </c>
      <c r="O8" s="52" t="s">
        <v>49</v>
      </c>
      <c r="P8" s="52" t="s">
        <v>50</v>
      </c>
      <c r="Q8" s="53" t="s">
        <v>51</v>
      </c>
      <c r="R8" s="53" t="s">
        <v>52</v>
      </c>
      <c r="S8" s="53" t="s">
        <v>53</v>
      </c>
      <c r="T8" s="53" t="s">
        <v>54</v>
      </c>
      <c r="U8" s="52" t="s">
        <v>55</v>
      </c>
      <c r="V8" s="52">
        <v>10</v>
      </c>
      <c r="W8" s="52" t="s">
        <v>48</v>
      </c>
      <c r="X8" s="52" t="s">
        <v>49</v>
      </c>
      <c r="Y8" s="52" t="s">
        <v>50</v>
      </c>
      <c r="Z8" s="53" t="s">
        <v>51</v>
      </c>
      <c r="AA8" s="53" t="s">
        <v>52</v>
      </c>
      <c r="AB8" s="53" t="s">
        <v>53</v>
      </c>
      <c r="AC8" s="53" t="s">
        <v>54</v>
      </c>
      <c r="AD8" s="52" t="s">
        <v>55</v>
      </c>
      <c r="AE8" s="52">
        <v>10</v>
      </c>
    </row>
    <row r="9" spans="1:31" s="50" customFormat="1" ht="12" thickBot="1" x14ac:dyDescent="0.3">
      <c r="A9" s="45">
        <v>1</v>
      </c>
      <c r="B9" s="46">
        <v>2</v>
      </c>
      <c r="C9" s="46">
        <v>3</v>
      </c>
      <c r="D9" s="45">
        <v>4</v>
      </c>
      <c r="E9" s="46">
        <v>5</v>
      </c>
      <c r="F9" s="46">
        <v>6</v>
      </c>
      <c r="G9" s="46">
        <v>7</v>
      </c>
      <c r="H9" s="45">
        <v>8</v>
      </c>
      <c r="I9" s="45">
        <v>9</v>
      </c>
      <c r="J9" s="45">
        <v>10</v>
      </c>
      <c r="K9" s="45">
        <v>11</v>
      </c>
      <c r="L9" s="46">
        <v>12</v>
      </c>
      <c r="M9" s="46">
        <v>13</v>
      </c>
      <c r="N9" s="46">
        <v>14</v>
      </c>
      <c r="O9" s="46">
        <v>15</v>
      </c>
      <c r="P9" s="46">
        <v>16</v>
      </c>
      <c r="Q9" s="45">
        <v>17</v>
      </c>
      <c r="R9" s="45">
        <v>18</v>
      </c>
      <c r="S9" s="45">
        <v>19</v>
      </c>
      <c r="T9" s="45">
        <v>20</v>
      </c>
      <c r="U9" s="46">
        <v>21</v>
      </c>
      <c r="V9" s="46">
        <v>22</v>
      </c>
      <c r="W9" s="46">
        <v>23</v>
      </c>
      <c r="X9" s="46">
        <v>24</v>
      </c>
      <c r="Y9" s="46">
        <v>25</v>
      </c>
      <c r="Z9" s="45">
        <v>26</v>
      </c>
      <c r="AA9" s="45">
        <v>27</v>
      </c>
      <c r="AB9" s="45">
        <v>28</v>
      </c>
      <c r="AC9" s="45">
        <v>29</v>
      </c>
      <c r="AD9" s="46">
        <v>30</v>
      </c>
      <c r="AE9" s="46">
        <v>31</v>
      </c>
    </row>
    <row r="10" spans="1:31" ht="75" customHeight="1" thickBot="1" x14ac:dyDescent="0.3">
      <c r="A10" s="4">
        <v>1</v>
      </c>
      <c r="B10" s="67" t="s">
        <v>85</v>
      </c>
      <c r="C10" s="68" t="s">
        <v>82</v>
      </c>
      <c r="D10" s="68" t="s">
        <v>83</v>
      </c>
      <c r="E10" s="64">
        <f>COUNTIF('Result Analysis X'!$J$6:$J$85,"OBC")</f>
        <v>0</v>
      </c>
      <c r="F10" s="64">
        <f>COUNTIFS('Result Analysis X'!$J$6:$J$85,"OBC",'Result Analysis X'!$U$6:$U$85,"pass")</f>
        <v>0</v>
      </c>
      <c r="G10" s="64">
        <f>COUNTIFS('Result Analysis X'!$J$6:$J$85,"OBC",'Result Analysis X'!$S$6:$S$85,"&lt;4")</f>
        <v>0</v>
      </c>
      <c r="H10" s="64">
        <f>COUNTIFS('Result Analysis X'!$J$6:$J$85,"OBC",'Result Analysis X'!$S$6:$S$85,"&gt;=4")-I10-J10-K10-L10-M10</f>
        <v>0</v>
      </c>
      <c r="I10" s="64">
        <f>COUNTIFS('Result Analysis X'!$J$6:$J$85,"OBC",'Result Analysis X'!$S$6:$S$85,"&gt;=5")-J10-K10-L10-M10</f>
        <v>0</v>
      </c>
      <c r="J10" s="64">
        <f>COUNTIFS('Result Analysis X'!$J$6:$J$85,"OBC",'Result Analysis X'!$S$6:$S$85,"&gt;=6")-K10-L10-M10</f>
        <v>0</v>
      </c>
      <c r="K10" s="64">
        <f>COUNTIFS('Result Analysis X'!$J$6:$J$85,"OBC",'Result Analysis X'!$S$6:$S$85,"&gt;=7")-L10-M10</f>
        <v>0</v>
      </c>
      <c r="L10" s="64">
        <f>COUNTIFS('Result Analysis X'!$J$6:$J$85,"OBC",'Result Analysis X'!$S$6:$S$85,"&gt;=9")</f>
        <v>0</v>
      </c>
      <c r="M10" s="64">
        <f>COUNTIFS('Result Analysis X'!$J$6:$J$85,"OBC",'Result Analysis X'!R$6:R$85,"10")</f>
        <v>0</v>
      </c>
      <c r="N10" s="64" t="e">
        <f>COUNTIF('Result Analysis X'!#REF!,"MINORITY")</f>
        <v>#REF!</v>
      </c>
      <c r="O10" s="64" t="e">
        <f>COUNTIFS('Result Analysis X'!#REF!,"MINORITY",'Result Analysis X'!$U$6:$U$85,"pass")</f>
        <v>#REF!</v>
      </c>
      <c r="P10" s="64" t="e">
        <f>COUNTIFS('Result Analysis X'!#REF!,"MINORITY",'Result Analysis X'!$S$6:$S$85,"&lt;4")</f>
        <v>#REF!</v>
      </c>
      <c r="Q10" s="64" t="e">
        <f>COUNTIFS('Result Analysis X'!#REF!,"MINORITY",'Result Analysis X'!$S$6:$S$85,"&gt;=4")-R10-S10-T10-U10-V10</f>
        <v>#REF!</v>
      </c>
      <c r="R10" s="64" t="e">
        <f>COUNTIFS('Result Analysis X'!#REF!,"MINORITY",'Result Analysis X'!$S$6:$S$85,"&gt;=5")-S10-T10-U10-V10</f>
        <v>#REF!</v>
      </c>
      <c r="S10" s="64" t="e">
        <f>COUNTIFS('Result Analysis X'!#REF!,"MINORITY",'Result Analysis X'!$S$6:$S$85,"&gt;=6")-T10-U10-V10</f>
        <v>#REF!</v>
      </c>
      <c r="T10" s="64" t="e">
        <f>COUNTIFS('Result Analysis X'!#REF!,"MINORITY",'Result Analysis X'!$S$6:$S$85,"&gt;=7")-U10-V10</f>
        <v>#REF!</v>
      </c>
      <c r="U10" s="64" t="e">
        <f>COUNTIFS('Result Analysis X'!#REF!,"MINORITY",'Result Analysis X'!$S$6:$S$85,"&gt;=9")</f>
        <v>#REF!</v>
      </c>
      <c r="V10" s="64" t="e">
        <f>COUNTIFS('Result Analysis X'!#REF!,"MINORITY",'Result Analysis X'!AA$6:AA$85,"10")</f>
        <v>#REF!</v>
      </c>
      <c r="W10" s="64">
        <f>COUNTIF('Result Analysis X'!$F$6:$F$85,"PH")</f>
        <v>0</v>
      </c>
      <c r="X10" s="64">
        <f>COUNTIFS('Result Analysis X'!$F$6:$F$85,"PH",'Result Analysis X'!$U$6:$U$85,"pass")</f>
        <v>0</v>
      </c>
      <c r="Y10" s="64">
        <f>COUNTIFS('Result Analysis X'!$F$6:$F$85,"PH",'Result Analysis X'!$S$6:$S$85,"&lt;4")</f>
        <v>0</v>
      </c>
      <c r="Z10" s="64">
        <f>COUNTIFS('Result Analysis X'!$F$6:$F$85,"PH",'Result Analysis X'!$S$6:$S$85,"&gt;=4")-AA10-AB10-AC10-AD10-AE10</f>
        <v>0</v>
      </c>
      <c r="AA10" s="64">
        <f>COUNTIFS('Result Analysis X'!$F$6:$F$85,"PH",'Result Analysis X'!$S$6:$S$85,"&gt;=5")-AB10-AC10-AD10-AE10</f>
        <v>0</v>
      </c>
      <c r="AB10" s="64">
        <f>COUNTIFS('Result Analysis X'!$F$6:$F$85,"PH",'Result Analysis X'!$S$6:$S$85,"&gt;=6")-AC10-AD10-AE10</f>
        <v>0</v>
      </c>
      <c r="AC10" s="64">
        <f>COUNTIFS('Result Analysis X'!$F$6:$F$85,"PH",'Result Analysis X'!$S$6:$S$85,"&gt;=7")-AD10-AE10</f>
        <v>0</v>
      </c>
      <c r="AD10" s="64">
        <f>COUNTIFS('Result Analysis X'!$F$6:$F$85,"PH",'Result Analysis X'!$S$6:$S$85,"&gt;=9")</f>
        <v>0</v>
      </c>
      <c r="AE10" s="64">
        <f>COUNTIFS('Result Analysis X'!$F$6:$F$85,"PH",'Result Analysis X'!AJ$6:AJ$85,"10")</f>
        <v>0</v>
      </c>
    </row>
    <row r="16" spans="1:31" x14ac:dyDescent="0.25">
      <c r="G16" s="47"/>
      <c r="L16" s="47"/>
      <c r="M16" s="47"/>
    </row>
  </sheetData>
  <mergeCells count="13">
    <mergeCell ref="AC1:AE1"/>
    <mergeCell ref="E6:M6"/>
    <mergeCell ref="N6:V6"/>
    <mergeCell ref="W6:AE6"/>
    <mergeCell ref="E7:M7"/>
    <mergeCell ref="N7:V7"/>
    <mergeCell ref="W7:AE7"/>
    <mergeCell ref="A2:AE2"/>
    <mergeCell ref="A6:A8"/>
    <mergeCell ref="B6:B8"/>
    <mergeCell ref="C6:C8"/>
    <mergeCell ref="D6:D8"/>
    <mergeCell ref="A4:AE4"/>
  </mergeCells>
  <printOptions horizontalCentered="1"/>
  <pageMargins left="0.5" right="0.5" top="0.5" bottom="0.5" header="0.16" footer="0.16"/>
  <pageSetup scale="63" orientation="landscape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X11"/>
  <sheetViews>
    <sheetView view="pageBreakPreview" topLeftCell="B1" zoomScaleSheetLayoutView="100" workbookViewId="0">
      <selection activeCell="G1" sqref="A1:X10"/>
    </sheetView>
  </sheetViews>
  <sheetFormatPr defaultColWidth="8.85546875" defaultRowHeight="15" x14ac:dyDescent="0.25"/>
  <cols>
    <col min="1" max="1" width="9.140625" style="3" hidden="1" customWidth="1"/>
    <col min="2" max="2" width="3.42578125" style="3" bestFit="1" customWidth="1"/>
    <col min="3" max="4" width="8.85546875" style="3"/>
    <col min="5" max="5" width="6.140625" style="3" customWidth="1"/>
    <col min="6" max="6" width="6.85546875" style="3" customWidth="1"/>
    <col min="7" max="7" width="8" style="3" bestFit="1" customWidth="1"/>
    <col min="8" max="9" width="8" style="3" customWidth="1"/>
    <col min="10" max="15" width="5.7109375" style="3" customWidth="1"/>
    <col min="16" max="18" width="8" style="3" customWidth="1"/>
    <col min="19" max="24" width="5.7109375" style="3" customWidth="1"/>
    <col min="25" max="16384" width="8.85546875" style="3"/>
  </cols>
  <sheetData>
    <row r="1" spans="2:24" x14ac:dyDescent="0.25">
      <c r="V1" s="392" t="s">
        <v>65</v>
      </c>
      <c r="W1" s="392"/>
      <c r="X1" s="392"/>
    </row>
    <row r="2" spans="2:24" ht="18" x14ac:dyDescent="0.25"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</row>
    <row r="3" spans="2:24" ht="3.6" customHeight="1" x14ac:dyDescent="0.25"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2:24" s="48" customFormat="1" ht="12.75" x14ac:dyDescent="0.25">
      <c r="B4" s="392" t="s">
        <v>206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</row>
    <row r="5" spans="2:24" ht="3.6" customHeight="1" thickBot="1" x14ac:dyDescent="0.3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2:24" s="51" customFormat="1" ht="12" thickBot="1" x14ac:dyDescent="0.3">
      <c r="B6" s="293" t="s">
        <v>2</v>
      </c>
      <c r="C6" s="293" t="s">
        <v>42</v>
      </c>
      <c r="D6" s="294" t="s">
        <v>43</v>
      </c>
      <c r="E6" s="294" t="s">
        <v>44</v>
      </c>
      <c r="F6" s="294" t="s">
        <v>45</v>
      </c>
      <c r="G6" s="294" t="s">
        <v>62</v>
      </c>
      <c r="H6" s="294"/>
      <c r="I6" s="294"/>
      <c r="J6" s="294"/>
      <c r="K6" s="294"/>
      <c r="L6" s="294"/>
      <c r="M6" s="294"/>
      <c r="N6" s="294"/>
      <c r="O6" s="294"/>
      <c r="P6" s="294" t="s">
        <v>63</v>
      </c>
      <c r="Q6" s="294"/>
      <c r="R6" s="294"/>
      <c r="S6" s="294"/>
      <c r="T6" s="294"/>
      <c r="U6" s="294"/>
      <c r="V6" s="294"/>
      <c r="W6" s="294"/>
      <c r="X6" s="294"/>
    </row>
    <row r="7" spans="2:24" s="51" customFormat="1" ht="12" thickBot="1" x14ac:dyDescent="0.3">
      <c r="B7" s="294"/>
      <c r="C7" s="293"/>
      <c r="D7" s="294"/>
      <c r="E7" s="294"/>
      <c r="F7" s="294"/>
      <c r="G7" s="294" t="s">
        <v>46</v>
      </c>
      <c r="H7" s="294"/>
      <c r="I7" s="294"/>
      <c r="J7" s="294"/>
      <c r="K7" s="294"/>
      <c r="L7" s="294"/>
      <c r="M7" s="294"/>
      <c r="N7" s="294"/>
      <c r="O7" s="294"/>
      <c r="P7" s="294" t="s">
        <v>47</v>
      </c>
      <c r="Q7" s="294"/>
      <c r="R7" s="294"/>
      <c r="S7" s="294"/>
      <c r="T7" s="294"/>
      <c r="U7" s="294"/>
      <c r="V7" s="294"/>
      <c r="W7" s="294"/>
      <c r="X7" s="294"/>
    </row>
    <row r="8" spans="2:24" s="51" customFormat="1" ht="34.5" thickBot="1" x14ac:dyDescent="0.3">
      <c r="B8" s="294"/>
      <c r="C8" s="293"/>
      <c r="D8" s="294"/>
      <c r="E8" s="294"/>
      <c r="F8" s="294"/>
      <c r="G8" s="46" t="s">
        <v>48</v>
      </c>
      <c r="H8" s="46" t="s">
        <v>49</v>
      </c>
      <c r="I8" s="46" t="s">
        <v>50</v>
      </c>
      <c r="J8" s="45" t="s">
        <v>51</v>
      </c>
      <c r="K8" s="45" t="s">
        <v>52</v>
      </c>
      <c r="L8" s="45" t="s">
        <v>53</v>
      </c>
      <c r="M8" s="45" t="s">
        <v>54</v>
      </c>
      <c r="N8" s="45" t="s">
        <v>55</v>
      </c>
      <c r="O8" s="46">
        <v>10</v>
      </c>
      <c r="P8" s="46" t="s">
        <v>48</v>
      </c>
      <c r="Q8" s="46" t="s">
        <v>49</v>
      </c>
      <c r="R8" s="46" t="s">
        <v>50</v>
      </c>
      <c r="S8" s="45" t="s">
        <v>51</v>
      </c>
      <c r="T8" s="45" t="s">
        <v>52</v>
      </c>
      <c r="U8" s="45" t="s">
        <v>53</v>
      </c>
      <c r="V8" s="45" t="s">
        <v>54</v>
      </c>
      <c r="W8" s="45" t="s">
        <v>56</v>
      </c>
      <c r="X8" s="46">
        <v>10</v>
      </c>
    </row>
    <row r="9" spans="2:24" s="51" customFormat="1" ht="12" thickBot="1" x14ac:dyDescent="0.3">
      <c r="B9" s="45">
        <v>1</v>
      </c>
      <c r="C9" s="46">
        <v>2</v>
      </c>
      <c r="D9" s="45">
        <v>3</v>
      </c>
      <c r="E9" s="45">
        <v>4</v>
      </c>
      <c r="F9" s="45">
        <v>5</v>
      </c>
      <c r="G9" s="46">
        <v>6</v>
      </c>
      <c r="H9" s="46">
        <v>7</v>
      </c>
      <c r="I9" s="46">
        <v>8</v>
      </c>
      <c r="J9" s="45">
        <v>9</v>
      </c>
      <c r="K9" s="45">
        <v>10</v>
      </c>
      <c r="L9" s="45">
        <v>11</v>
      </c>
      <c r="M9" s="45">
        <v>12</v>
      </c>
      <c r="N9" s="45">
        <v>13</v>
      </c>
      <c r="O9" s="46">
        <v>14</v>
      </c>
      <c r="P9" s="46">
        <v>15</v>
      </c>
      <c r="Q9" s="46">
        <v>16</v>
      </c>
      <c r="R9" s="46">
        <v>17</v>
      </c>
      <c r="S9" s="45">
        <v>18</v>
      </c>
      <c r="T9" s="45">
        <v>19</v>
      </c>
      <c r="U9" s="45">
        <v>20</v>
      </c>
      <c r="V9" s="45">
        <v>21</v>
      </c>
      <c r="W9" s="45">
        <v>22</v>
      </c>
      <c r="X9" s="46">
        <v>23</v>
      </c>
    </row>
    <row r="10" spans="2:24" ht="73.5" customHeight="1" thickBot="1" x14ac:dyDescent="0.3">
      <c r="B10" s="4">
        <v>1</v>
      </c>
      <c r="C10" s="67" t="s">
        <v>80</v>
      </c>
      <c r="D10" s="68" t="s">
        <v>81</v>
      </c>
      <c r="E10" s="68" t="s">
        <v>82</v>
      </c>
      <c r="F10" s="68" t="s">
        <v>83</v>
      </c>
      <c r="G10" s="78">
        <f>COUNTIF('Result Analysis X'!K6:K85,"rural")</f>
        <v>0</v>
      </c>
      <c r="H10" s="64">
        <f>COUNTIFS('Result Analysis X'!$K$6:$K$85,"RURAL",'Result Analysis X'!$U$6:$U$85,"pass")</f>
        <v>0</v>
      </c>
      <c r="I10" s="64">
        <f>COUNTIFS('Result Analysis X'!$K$6:$K$85,"RURAL",'Result Analysis X'!$S$6:$S$85,"&lt;4")</f>
        <v>0</v>
      </c>
      <c r="J10" s="64">
        <f>COUNTIFS('Result Analysis X'!$K$6:$K$85,"RURAL",'Result Analysis X'!$S$6:$S$85,"&gt;=4")-K10-L10-M10-N10-O10</f>
        <v>0</v>
      </c>
      <c r="K10" s="64">
        <f>COUNTIFS('Result Analysis X'!$K$6:$K$85,"RURAL",'Result Analysis X'!$S$6:$S$85,"&gt;=5")-L10-M10-N10-O10</f>
        <v>0</v>
      </c>
      <c r="L10" s="64">
        <f>COUNTIFS('Result Analysis X'!$K$6:$K$85,"RURAL",'Result Analysis X'!$S$6:$S$85,"&gt;=6")-M10-N10-O10</f>
        <v>0</v>
      </c>
      <c r="M10" s="64">
        <f>COUNTIFS('Result Analysis X'!$K$6:$K$85,"RURAL",'Result Analysis X'!$S$6:$S$85,"&gt;=7")-N10-O10</f>
        <v>0</v>
      </c>
      <c r="N10" s="64">
        <f>COUNTIFS('Result Analysis X'!$K$6:$K$85,"RURAL",'Result Analysis X'!$S$6:$S$85,"&gt;=9")</f>
        <v>0</v>
      </c>
      <c r="O10" s="64">
        <f>COUNTIFS('Result Analysis X'!$K$6:$K$85,"RURAL",'Result Analysis X'!$S$6:$S$85,"10")</f>
        <v>0</v>
      </c>
      <c r="P10" s="78">
        <f>COUNTIF('Result Analysis X'!K6:K85,"urban")</f>
        <v>0</v>
      </c>
      <c r="Q10" s="64">
        <f>COUNTIFS('Result Analysis X'!$K$6:$K$85,"urban",'Result Analysis X'!$U$6:$U$85,"pass")</f>
        <v>0</v>
      </c>
      <c r="R10" s="64">
        <f>COUNTIFS('Result Analysis X'!$K$6:$K$85,"URBAN",'Result Analysis X'!$S$6:$S$85,"&lt;4")</f>
        <v>0</v>
      </c>
      <c r="S10" s="64">
        <f>COUNTIFS('Result Analysis X'!$K$6:$K$85,"URBAN",'Result Analysis X'!$S$6:$S$85,"&gt;=4")-T10-U10-V10-W10-X10</f>
        <v>0</v>
      </c>
      <c r="T10" s="64">
        <f>COUNTIFS('Result Analysis X'!$K$6:$K$85,"URBAN",'Result Analysis X'!$S$6:$S$85,"&gt;=5")-U10-V10-W10-X10</f>
        <v>0</v>
      </c>
      <c r="U10" s="64">
        <f>COUNTIFS('Result Analysis X'!$K$6:$K$85,"URBAN",'Result Analysis X'!$S$6:$S$85,"&gt;=6")-V10-W10-X10</f>
        <v>0</v>
      </c>
      <c r="V10" s="64">
        <f>COUNTIFS('Result Analysis X'!$K$6:$K$85,"URBAN",'Result Analysis X'!$S$6:$S$85,"&gt;=7")-W10-X10</f>
        <v>0</v>
      </c>
      <c r="W10" s="64">
        <f>COUNTIFS('Result Analysis X'!$K$6:$K$85,"URBAN",'Result Analysis X'!$S$6:$S$85,"&gt;=9")</f>
        <v>0</v>
      </c>
      <c r="X10" s="64">
        <f>COUNTIFS('Result Analysis X'!$K$6:$K$85,"URBAN",'Result Analysis X'!$S$6:$S$85,"10")</f>
        <v>0</v>
      </c>
    </row>
    <row r="11" spans="2:24" s="48" customFormat="1" ht="27" customHeight="1" thickBot="1" x14ac:dyDescent="0.3">
      <c r="B11" s="386" t="s">
        <v>29</v>
      </c>
      <c r="C11" s="387"/>
      <c r="D11" s="387"/>
      <c r="E11" s="387"/>
      <c r="F11" s="388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3"/>
    </row>
  </sheetData>
  <mergeCells count="13">
    <mergeCell ref="B6:B8"/>
    <mergeCell ref="B2:X2"/>
    <mergeCell ref="B11:F11"/>
    <mergeCell ref="V1:X1"/>
    <mergeCell ref="B4:X4"/>
    <mergeCell ref="G6:O6"/>
    <mergeCell ref="P6:X6"/>
    <mergeCell ref="G7:O7"/>
    <mergeCell ref="P7:X7"/>
    <mergeCell ref="F6:F8"/>
    <mergeCell ref="E6:E8"/>
    <mergeCell ref="D6:D8"/>
    <mergeCell ref="C6:C8"/>
  </mergeCells>
  <printOptions horizontalCentered="1"/>
  <pageMargins left="0.5" right="0.5" top="0.5" bottom="0.5" header="0.16" footer="0.16"/>
  <pageSetup scale="84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124"/>
  <sheetViews>
    <sheetView topLeftCell="A24" workbookViewId="0">
      <selection activeCell="D24" sqref="D24"/>
    </sheetView>
  </sheetViews>
  <sheetFormatPr defaultColWidth="8.85546875" defaultRowHeight="15" x14ac:dyDescent="0.25"/>
  <cols>
    <col min="1" max="1" width="5.7109375" style="12" bestFit="1" customWidth="1"/>
    <col min="2" max="2" width="19.28515625" style="13" customWidth="1"/>
    <col min="3" max="3" width="8.5703125" style="14" bestFit="1" customWidth="1"/>
    <col min="4" max="4" width="30.85546875" style="15" bestFit="1" customWidth="1"/>
    <col min="5" max="6" width="13" style="12" customWidth="1"/>
    <col min="7" max="7" width="13" style="14" customWidth="1"/>
    <col min="8" max="256" width="8.85546875" style="16"/>
    <col min="257" max="257" width="5.7109375" style="16" bestFit="1" customWidth="1"/>
    <col min="258" max="258" width="17.5703125" style="16" bestFit="1" customWidth="1"/>
    <col min="259" max="259" width="8.5703125" style="16" bestFit="1" customWidth="1"/>
    <col min="260" max="260" width="30.85546875" style="16" bestFit="1" customWidth="1"/>
    <col min="261" max="263" width="13" style="16" customWidth="1"/>
    <col min="264" max="512" width="8.85546875" style="16"/>
    <col min="513" max="513" width="5.7109375" style="16" bestFit="1" customWidth="1"/>
    <col min="514" max="514" width="17.5703125" style="16" bestFit="1" customWidth="1"/>
    <col min="515" max="515" width="8.5703125" style="16" bestFit="1" customWidth="1"/>
    <col min="516" max="516" width="30.85546875" style="16" bestFit="1" customWidth="1"/>
    <col min="517" max="519" width="13" style="16" customWidth="1"/>
    <col min="520" max="768" width="8.85546875" style="16"/>
    <col min="769" max="769" width="5.7109375" style="16" bestFit="1" customWidth="1"/>
    <col min="770" max="770" width="17.5703125" style="16" bestFit="1" customWidth="1"/>
    <col min="771" max="771" width="8.5703125" style="16" bestFit="1" customWidth="1"/>
    <col min="772" max="772" width="30.85546875" style="16" bestFit="1" customWidth="1"/>
    <col min="773" max="775" width="13" style="16" customWidth="1"/>
    <col min="776" max="1024" width="8.85546875" style="16"/>
    <col min="1025" max="1025" width="5.7109375" style="16" bestFit="1" customWidth="1"/>
    <col min="1026" max="1026" width="17.5703125" style="16" bestFit="1" customWidth="1"/>
    <col min="1027" max="1027" width="8.5703125" style="16" bestFit="1" customWidth="1"/>
    <col min="1028" max="1028" width="30.85546875" style="16" bestFit="1" customWidth="1"/>
    <col min="1029" max="1031" width="13" style="16" customWidth="1"/>
    <col min="1032" max="1280" width="8.85546875" style="16"/>
    <col min="1281" max="1281" width="5.7109375" style="16" bestFit="1" customWidth="1"/>
    <col min="1282" max="1282" width="17.5703125" style="16" bestFit="1" customWidth="1"/>
    <col min="1283" max="1283" width="8.5703125" style="16" bestFit="1" customWidth="1"/>
    <col min="1284" max="1284" width="30.85546875" style="16" bestFit="1" customWidth="1"/>
    <col min="1285" max="1287" width="13" style="16" customWidth="1"/>
    <col min="1288" max="1536" width="8.85546875" style="16"/>
    <col min="1537" max="1537" width="5.7109375" style="16" bestFit="1" customWidth="1"/>
    <col min="1538" max="1538" width="17.5703125" style="16" bestFit="1" customWidth="1"/>
    <col min="1539" max="1539" width="8.5703125" style="16" bestFit="1" customWidth="1"/>
    <col min="1540" max="1540" width="30.85546875" style="16" bestFit="1" customWidth="1"/>
    <col min="1541" max="1543" width="13" style="16" customWidth="1"/>
    <col min="1544" max="1792" width="8.85546875" style="16"/>
    <col min="1793" max="1793" width="5.7109375" style="16" bestFit="1" customWidth="1"/>
    <col min="1794" max="1794" width="17.5703125" style="16" bestFit="1" customWidth="1"/>
    <col min="1795" max="1795" width="8.5703125" style="16" bestFit="1" customWidth="1"/>
    <col min="1796" max="1796" width="30.85546875" style="16" bestFit="1" customWidth="1"/>
    <col min="1797" max="1799" width="13" style="16" customWidth="1"/>
    <col min="1800" max="2048" width="8.85546875" style="16"/>
    <col min="2049" max="2049" width="5.7109375" style="16" bestFit="1" customWidth="1"/>
    <col min="2050" max="2050" width="17.5703125" style="16" bestFit="1" customWidth="1"/>
    <col min="2051" max="2051" width="8.5703125" style="16" bestFit="1" customWidth="1"/>
    <col min="2052" max="2052" width="30.85546875" style="16" bestFit="1" customWidth="1"/>
    <col min="2053" max="2055" width="13" style="16" customWidth="1"/>
    <col min="2056" max="2304" width="8.85546875" style="16"/>
    <col min="2305" max="2305" width="5.7109375" style="16" bestFit="1" customWidth="1"/>
    <col min="2306" max="2306" width="17.5703125" style="16" bestFit="1" customWidth="1"/>
    <col min="2307" max="2307" width="8.5703125" style="16" bestFit="1" customWidth="1"/>
    <col min="2308" max="2308" width="30.85546875" style="16" bestFit="1" customWidth="1"/>
    <col min="2309" max="2311" width="13" style="16" customWidth="1"/>
    <col min="2312" max="2560" width="8.85546875" style="16"/>
    <col min="2561" max="2561" width="5.7109375" style="16" bestFit="1" customWidth="1"/>
    <col min="2562" max="2562" width="17.5703125" style="16" bestFit="1" customWidth="1"/>
    <col min="2563" max="2563" width="8.5703125" style="16" bestFit="1" customWidth="1"/>
    <col min="2564" max="2564" width="30.85546875" style="16" bestFit="1" customWidth="1"/>
    <col min="2565" max="2567" width="13" style="16" customWidth="1"/>
    <col min="2568" max="2816" width="8.85546875" style="16"/>
    <col min="2817" max="2817" width="5.7109375" style="16" bestFit="1" customWidth="1"/>
    <col min="2818" max="2818" width="17.5703125" style="16" bestFit="1" customWidth="1"/>
    <col min="2819" max="2819" width="8.5703125" style="16" bestFit="1" customWidth="1"/>
    <col min="2820" max="2820" width="30.85546875" style="16" bestFit="1" customWidth="1"/>
    <col min="2821" max="2823" width="13" style="16" customWidth="1"/>
    <col min="2824" max="3072" width="8.85546875" style="16"/>
    <col min="3073" max="3073" width="5.7109375" style="16" bestFit="1" customWidth="1"/>
    <col min="3074" max="3074" width="17.5703125" style="16" bestFit="1" customWidth="1"/>
    <col min="3075" max="3075" width="8.5703125" style="16" bestFit="1" customWidth="1"/>
    <col min="3076" max="3076" width="30.85546875" style="16" bestFit="1" customWidth="1"/>
    <col min="3077" max="3079" width="13" style="16" customWidth="1"/>
    <col min="3080" max="3328" width="8.85546875" style="16"/>
    <col min="3329" max="3329" width="5.7109375" style="16" bestFit="1" customWidth="1"/>
    <col min="3330" max="3330" width="17.5703125" style="16" bestFit="1" customWidth="1"/>
    <col min="3331" max="3331" width="8.5703125" style="16" bestFit="1" customWidth="1"/>
    <col min="3332" max="3332" width="30.85546875" style="16" bestFit="1" customWidth="1"/>
    <col min="3333" max="3335" width="13" style="16" customWidth="1"/>
    <col min="3336" max="3584" width="8.85546875" style="16"/>
    <col min="3585" max="3585" width="5.7109375" style="16" bestFit="1" customWidth="1"/>
    <col min="3586" max="3586" width="17.5703125" style="16" bestFit="1" customWidth="1"/>
    <col min="3587" max="3587" width="8.5703125" style="16" bestFit="1" customWidth="1"/>
    <col min="3588" max="3588" width="30.85546875" style="16" bestFit="1" customWidth="1"/>
    <col min="3589" max="3591" width="13" style="16" customWidth="1"/>
    <col min="3592" max="3840" width="8.85546875" style="16"/>
    <col min="3841" max="3841" width="5.7109375" style="16" bestFit="1" customWidth="1"/>
    <col min="3842" max="3842" width="17.5703125" style="16" bestFit="1" customWidth="1"/>
    <col min="3843" max="3843" width="8.5703125" style="16" bestFit="1" customWidth="1"/>
    <col min="3844" max="3844" width="30.85546875" style="16" bestFit="1" customWidth="1"/>
    <col min="3845" max="3847" width="13" style="16" customWidth="1"/>
    <col min="3848" max="4096" width="8.85546875" style="16"/>
    <col min="4097" max="4097" width="5.7109375" style="16" bestFit="1" customWidth="1"/>
    <col min="4098" max="4098" width="17.5703125" style="16" bestFit="1" customWidth="1"/>
    <col min="4099" max="4099" width="8.5703125" style="16" bestFit="1" customWidth="1"/>
    <col min="4100" max="4100" width="30.85546875" style="16" bestFit="1" customWidth="1"/>
    <col min="4101" max="4103" width="13" style="16" customWidth="1"/>
    <col min="4104" max="4352" width="8.85546875" style="16"/>
    <col min="4353" max="4353" width="5.7109375" style="16" bestFit="1" customWidth="1"/>
    <col min="4354" max="4354" width="17.5703125" style="16" bestFit="1" customWidth="1"/>
    <col min="4355" max="4355" width="8.5703125" style="16" bestFit="1" customWidth="1"/>
    <col min="4356" max="4356" width="30.85546875" style="16" bestFit="1" customWidth="1"/>
    <col min="4357" max="4359" width="13" style="16" customWidth="1"/>
    <col min="4360" max="4608" width="8.85546875" style="16"/>
    <col min="4609" max="4609" width="5.7109375" style="16" bestFit="1" customWidth="1"/>
    <col min="4610" max="4610" width="17.5703125" style="16" bestFit="1" customWidth="1"/>
    <col min="4611" max="4611" width="8.5703125" style="16" bestFit="1" customWidth="1"/>
    <col min="4612" max="4612" width="30.85546875" style="16" bestFit="1" customWidth="1"/>
    <col min="4613" max="4615" width="13" style="16" customWidth="1"/>
    <col min="4616" max="4864" width="8.85546875" style="16"/>
    <col min="4865" max="4865" width="5.7109375" style="16" bestFit="1" customWidth="1"/>
    <col min="4866" max="4866" width="17.5703125" style="16" bestFit="1" customWidth="1"/>
    <col min="4867" max="4867" width="8.5703125" style="16" bestFit="1" customWidth="1"/>
    <col min="4868" max="4868" width="30.85546875" style="16" bestFit="1" customWidth="1"/>
    <col min="4869" max="4871" width="13" style="16" customWidth="1"/>
    <col min="4872" max="5120" width="8.85546875" style="16"/>
    <col min="5121" max="5121" width="5.7109375" style="16" bestFit="1" customWidth="1"/>
    <col min="5122" max="5122" width="17.5703125" style="16" bestFit="1" customWidth="1"/>
    <col min="5123" max="5123" width="8.5703125" style="16" bestFit="1" customWidth="1"/>
    <col min="5124" max="5124" width="30.85546875" style="16" bestFit="1" customWidth="1"/>
    <col min="5125" max="5127" width="13" style="16" customWidth="1"/>
    <col min="5128" max="5376" width="8.85546875" style="16"/>
    <col min="5377" max="5377" width="5.7109375" style="16" bestFit="1" customWidth="1"/>
    <col min="5378" max="5378" width="17.5703125" style="16" bestFit="1" customWidth="1"/>
    <col min="5379" max="5379" width="8.5703125" style="16" bestFit="1" customWidth="1"/>
    <col min="5380" max="5380" width="30.85546875" style="16" bestFit="1" customWidth="1"/>
    <col min="5381" max="5383" width="13" style="16" customWidth="1"/>
    <col min="5384" max="5632" width="8.85546875" style="16"/>
    <col min="5633" max="5633" width="5.7109375" style="16" bestFit="1" customWidth="1"/>
    <col min="5634" max="5634" width="17.5703125" style="16" bestFit="1" customWidth="1"/>
    <col min="5635" max="5635" width="8.5703125" style="16" bestFit="1" customWidth="1"/>
    <col min="5636" max="5636" width="30.85546875" style="16" bestFit="1" customWidth="1"/>
    <col min="5637" max="5639" width="13" style="16" customWidth="1"/>
    <col min="5640" max="5888" width="8.85546875" style="16"/>
    <col min="5889" max="5889" width="5.7109375" style="16" bestFit="1" customWidth="1"/>
    <col min="5890" max="5890" width="17.5703125" style="16" bestFit="1" customWidth="1"/>
    <col min="5891" max="5891" width="8.5703125" style="16" bestFit="1" customWidth="1"/>
    <col min="5892" max="5892" width="30.85546875" style="16" bestFit="1" customWidth="1"/>
    <col min="5893" max="5895" width="13" style="16" customWidth="1"/>
    <col min="5896" max="6144" width="8.85546875" style="16"/>
    <col min="6145" max="6145" width="5.7109375" style="16" bestFit="1" customWidth="1"/>
    <col min="6146" max="6146" width="17.5703125" style="16" bestFit="1" customWidth="1"/>
    <col min="6147" max="6147" width="8.5703125" style="16" bestFit="1" customWidth="1"/>
    <col min="6148" max="6148" width="30.85546875" style="16" bestFit="1" customWidth="1"/>
    <col min="6149" max="6151" width="13" style="16" customWidth="1"/>
    <col min="6152" max="6400" width="8.85546875" style="16"/>
    <col min="6401" max="6401" width="5.7109375" style="16" bestFit="1" customWidth="1"/>
    <col min="6402" max="6402" width="17.5703125" style="16" bestFit="1" customWidth="1"/>
    <col min="6403" max="6403" width="8.5703125" style="16" bestFit="1" customWidth="1"/>
    <col min="6404" max="6404" width="30.85546875" style="16" bestFit="1" customWidth="1"/>
    <col min="6405" max="6407" width="13" style="16" customWidth="1"/>
    <col min="6408" max="6656" width="8.85546875" style="16"/>
    <col min="6657" max="6657" width="5.7109375" style="16" bestFit="1" customWidth="1"/>
    <col min="6658" max="6658" width="17.5703125" style="16" bestFit="1" customWidth="1"/>
    <col min="6659" max="6659" width="8.5703125" style="16" bestFit="1" customWidth="1"/>
    <col min="6660" max="6660" width="30.85546875" style="16" bestFit="1" customWidth="1"/>
    <col min="6661" max="6663" width="13" style="16" customWidth="1"/>
    <col min="6664" max="6912" width="8.85546875" style="16"/>
    <col min="6913" max="6913" width="5.7109375" style="16" bestFit="1" customWidth="1"/>
    <col min="6914" max="6914" width="17.5703125" style="16" bestFit="1" customWidth="1"/>
    <col min="6915" max="6915" width="8.5703125" style="16" bestFit="1" customWidth="1"/>
    <col min="6916" max="6916" width="30.85546875" style="16" bestFit="1" customWidth="1"/>
    <col min="6917" max="6919" width="13" style="16" customWidth="1"/>
    <col min="6920" max="7168" width="8.85546875" style="16"/>
    <col min="7169" max="7169" width="5.7109375" style="16" bestFit="1" customWidth="1"/>
    <col min="7170" max="7170" width="17.5703125" style="16" bestFit="1" customWidth="1"/>
    <col min="7171" max="7171" width="8.5703125" style="16" bestFit="1" customWidth="1"/>
    <col min="7172" max="7172" width="30.85546875" style="16" bestFit="1" customWidth="1"/>
    <col min="7173" max="7175" width="13" style="16" customWidth="1"/>
    <col min="7176" max="7424" width="8.85546875" style="16"/>
    <col min="7425" max="7425" width="5.7109375" style="16" bestFit="1" customWidth="1"/>
    <col min="7426" max="7426" width="17.5703125" style="16" bestFit="1" customWidth="1"/>
    <col min="7427" max="7427" width="8.5703125" style="16" bestFit="1" customWidth="1"/>
    <col min="7428" max="7428" width="30.85546875" style="16" bestFit="1" customWidth="1"/>
    <col min="7429" max="7431" width="13" style="16" customWidth="1"/>
    <col min="7432" max="7680" width="8.85546875" style="16"/>
    <col min="7681" max="7681" width="5.7109375" style="16" bestFit="1" customWidth="1"/>
    <col min="7682" max="7682" width="17.5703125" style="16" bestFit="1" customWidth="1"/>
    <col min="7683" max="7683" width="8.5703125" style="16" bestFit="1" customWidth="1"/>
    <col min="7684" max="7684" width="30.85546875" style="16" bestFit="1" customWidth="1"/>
    <col min="7685" max="7687" width="13" style="16" customWidth="1"/>
    <col min="7688" max="7936" width="8.85546875" style="16"/>
    <col min="7937" max="7937" width="5.7109375" style="16" bestFit="1" customWidth="1"/>
    <col min="7938" max="7938" width="17.5703125" style="16" bestFit="1" customWidth="1"/>
    <col min="7939" max="7939" width="8.5703125" style="16" bestFit="1" customWidth="1"/>
    <col min="7940" max="7940" width="30.85546875" style="16" bestFit="1" customWidth="1"/>
    <col min="7941" max="7943" width="13" style="16" customWidth="1"/>
    <col min="7944" max="8192" width="8.85546875" style="16"/>
    <col min="8193" max="8193" width="5.7109375" style="16" bestFit="1" customWidth="1"/>
    <col min="8194" max="8194" width="17.5703125" style="16" bestFit="1" customWidth="1"/>
    <col min="8195" max="8195" width="8.5703125" style="16" bestFit="1" customWidth="1"/>
    <col min="8196" max="8196" width="30.85546875" style="16" bestFit="1" customWidth="1"/>
    <col min="8197" max="8199" width="13" style="16" customWidth="1"/>
    <col min="8200" max="8448" width="8.85546875" style="16"/>
    <col min="8449" max="8449" width="5.7109375" style="16" bestFit="1" customWidth="1"/>
    <col min="8450" max="8450" width="17.5703125" style="16" bestFit="1" customWidth="1"/>
    <col min="8451" max="8451" width="8.5703125" style="16" bestFit="1" customWidth="1"/>
    <col min="8452" max="8452" width="30.85546875" style="16" bestFit="1" customWidth="1"/>
    <col min="8453" max="8455" width="13" style="16" customWidth="1"/>
    <col min="8456" max="8704" width="8.85546875" style="16"/>
    <col min="8705" max="8705" width="5.7109375" style="16" bestFit="1" customWidth="1"/>
    <col min="8706" max="8706" width="17.5703125" style="16" bestFit="1" customWidth="1"/>
    <col min="8707" max="8707" width="8.5703125" style="16" bestFit="1" customWidth="1"/>
    <col min="8708" max="8708" width="30.85546875" style="16" bestFit="1" customWidth="1"/>
    <col min="8709" max="8711" width="13" style="16" customWidth="1"/>
    <col min="8712" max="8960" width="8.85546875" style="16"/>
    <col min="8961" max="8961" width="5.7109375" style="16" bestFit="1" customWidth="1"/>
    <col min="8962" max="8962" width="17.5703125" style="16" bestFit="1" customWidth="1"/>
    <col min="8963" max="8963" width="8.5703125" style="16" bestFit="1" customWidth="1"/>
    <col min="8964" max="8964" width="30.85546875" style="16" bestFit="1" customWidth="1"/>
    <col min="8965" max="8967" width="13" style="16" customWidth="1"/>
    <col min="8968" max="9216" width="8.85546875" style="16"/>
    <col min="9217" max="9217" width="5.7109375" style="16" bestFit="1" customWidth="1"/>
    <col min="9218" max="9218" width="17.5703125" style="16" bestFit="1" customWidth="1"/>
    <col min="9219" max="9219" width="8.5703125" style="16" bestFit="1" customWidth="1"/>
    <col min="9220" max="9220" width="30.85546875" style="16" bestFit="1" customWidth="1"/>
    <col min="9221" max="9223" width="13" style="16" customWidth="1"/>
    <col min="9224" max="9472" width="8.85546875" style="16"/>
    <col min="9473" max="9473" width="5.7109375" style="16" bestFit="1" customWidth="1"/>
    <col min="9474" max="9474" width="17.5703125" style="16" bestFit="1" customWidth="1"/>
    <col min="9475" max="9475" width="8.5703125" style="16" bestFit="1" customWidth="1"/>
    <col min="9476" max="9476" width="30.85546875" style="16" bestFit="1" customWidth="1"/>
    <col min="9477" max="9479" width="13" style="16" customWidth="1"/>
    <col min="9480" max="9728" width="8.85546875" style="16"/>
    <col min="9729" max="9729" width="5.7109375" style="16" bestFit="1" customWidth="1"/>
    <col min="9730" max="9730" width="17.5703125" style="16" bestFit="1" customWidth="1"/>
    <col min="9731" max="9731" width="8.5703125" style="16" bestFit="1" customWidth="1"/>
    <col min="9732" max="9732" width="30.85546875" style="16" bestFit="1" customWidth="1"/>
    <col min="9733" max="9735" width="13" style="16" customWidth="1"/>
    <col min="9736" max="9984" width="8.85546875" style="16"/>
    <col min="9985" max="9985" width="5.7109375" style="16" bestFit="1" customWidth="1"/>
    <col min="9986" max="9986" width="17.5703125" style="16" bestFit="1" customWidth="1"/>
    <col min="9987" max="9987" width="8.5703125" style="16" bestFit="1" customWidth="1"/>
    <col min="9988" max="9988" width="30.85546875" style="16" bestFit="1" customWidth="1"/>
    <col min="9989" max="9991" width="13" style="16" customWidth="1"/>
    <col min="9992" max="10240" width="8.85546875" style="16"/>
    <col min="10241" max="10241" width="5.7109375" style="16" bestFit="1" customWidth="1"/>
    <col min="10242" max="10242" width="17.5703125" style="16" bestFit="1" customWidth="1"/>
    <col min="10243" max="10243" width="8.5703125" style="16" bestFit="1" customWidth="1"/>
    <col min="10244" max="10244" width="30.85546875" style="16" bestFit="1" customWidth="1"/>
    <col min="10245" max="10247" width="13" style="16" customWidth="1"/>
    <col min="10248" max="10496" width="8.85546875" style="16"/>
    <col min="10497" max="10497" width="5.7109375" style="16" bestFit="1" customWidth="1"/>
    <col min="10498" max="10498" width="17.5703125" style="16" bestFit="1" customWidth="1"/>
    <col min="10499" max="10499" width="8.5703125" style="16" bestFit="1" customWidth="1"/>
    <col min="10500" max="10500" width="30.85546875" style="16" bestFit="1" customWidth="1"/>
    <col min="10501" max="10503" width="13" style="16" customWidth="1"/>
    <col min="10504" max="10752" width="8.85546875" style="16"/>
    <col min="10753" max="10753" width="5.7109375" style="16" bestFit="1" customWidth="1"/>
    <col min="10754" max="10754" width="17.5703125" style="16" bestFit="1" customWidth="1"/>
    <col min="10755" max="10755" width="8.5703125" style="16" bestFit="1" customWidth="1"/>
    <col min="10756" max="10756" width="30.85546875" style="16" bestFit="1" customWidth="1"/>
    <col min="10757" max="10759" width="13" style="16" customWidth="1"/>
    <col min="10760" max="11008" width="8.85546875" style="16"/>
    <col min="11009" max="11009" width="5.7109375" style="16" bestFit="1" customWidth="1"/>
    <col min="11010" max="11010" width="17.5703125" style="16" bestFit="1" customWidth="1"/>
    <col min="11011" max="11011" width="8.5703125" style="16" bestFit="1" customWidth="1"/>
    <col min="11012" max="11012" width="30.85546875" style="16" bestFit="1" customWidth="1"/>
    <col min="11013" max="11015" width="13" style="16" customWidth="1"/>
    <col min="11016" max="11264" width="8.85546875" style="16"/>
    <col min="11265" max="11265" width="5.7109375" style="16" bestFit="1" customWidth="1"/>
    <col min="11266" max="11266" width="17.5703125" style="16" bestFit="1" customWidth="1"/>
    <col min="11267" max="11267" width="8.5703125" style="16" bestFit="1" customWidth="1"/>
    <col min="11268" max="11268" width="30.85546875" style="16" bestFit="1" customWidth="1"/>
    <col min="11269" max="11271" width="13" style="16" customWidth="1"/>
    <col min="11272" max="11520" width="8.85546875" style="16"/>
    <col min="11521" max="11521" width="5.7109375" style="16" bestFit="1" customWidth="1"/>
    <col min="11522" max="11522" width="17.5703125" style="16" bestFit="1" customWidth="1"/>
    <col min="11523" max="11523" width="8.5703125" style="16" bestFit="1" customWidth="1"/>
    <col min="11524" max="11524" width="30.85546875" style="16" bestFit="1" customWidth="1"/>
    <col min="11525" max="11527" width="13" style="16" customWidth="1"/>
    <col min="11528" max="11776" width="8.85546875" style="16"/>
    <col min="11777" max="11777" width="5.7109375" style="16" bestFit="1" customWidth="1"/>
    <col min="11778" max="11778" width="17.5703125" style="16" bestFit="1" customWidth="1"/>
    <col min="11779" max="11779" width="8.5703125" style="16" bestFit="1" customWidth="1"/>
    <col min="11780" max="11780" width="30.85546875" style="16" bestFit="1" customWidth="1"/>
    <col min="11781" max="11783" width="13" style="16" customWidth="1"/>
    <col min="11784" max="12032" width="8.85546875" style="16"/>
    <col min="12033" max="12033" width="5.7109375" style="16" bestFit="1" customWidth="1"/>
    <col min="12034" max="12034" width="17.5703125" style="16" bestFit="1" customWidth="1"/>
    <col min="12035" max="12035" width="8.5703125" style="16" bestFit="1" customWidth="1"/>
    <col min="12036" max="12036" width="30.85546875" style="16" bestFit="1" customWidth="1"/>
    <col min="12037" max="12039" width="13" style="16" customWidth="1"/>
    <col min="12040" max="12288" width="8.85546875" style="16"/>
    <col min="12289" max="12289" width="5.7109375" style="16" bestFit="1" customWidth="1"/>
    <col min="12290" max="12290" width="17.5703125" style="16" bestFit="1" customWidth="1"/>
    <col min="12291" max="12291" width="8.5703125" style="16" bestFit="1" customWidth="1"/>
    <col min="12292" max="12292" width="30.85546875" style="16" bestFit="1" customWidth="1"/>
    <col min="12293" max="12295" width="13" style="16" customWidth="1"/>
    <col min="12296" max="12544" width="8.85546875" style="16"/>
    <col min="12545" max="12545" width="5.7109375" style="16" bestFit="1" customWidth="1"/>
    <col min="12546" max="12546" width="17.5703125" style="16" bestFit="1" customWidth="1"/>
    <col min="12547" max="12547" width="8.5703125" style="16" bestFit="1" customWidth="1"/>
    <col min="12548" max="12548" width="30.85546875" style="16" bestFit="1" customWidth="1"/>
    <col min="12549" max="12551" width="13" style="16" customWidth="1"/>
    <col min="12552" max="12800" width="8.85546875" style="16"/>
    <col min="12801" max="12801" width="5.7109375" style="16" bestFit="1" customWidth="1"/>
    <col min="12802" max="12802" width="17.5703125" style="16" bestFit="1" customWidth="1"/>
    <col min="12803" max="12803" width="8.5703125" style="16" bestFit="1" customWidth="1"/>
    <col min="12804" max="12804" width="30.85546875" style="16" bestFit="1" customWidth="1"/>
    <col min="12805" max="12807" width="13" style="16" customWidth="1"/>
    <col min="12808" max="13056" width="8.85546875" style="16"/>
    <col min="13057" max="13057" width="5.7109375" style="16" bestFit="1" customWidth="1"/>
    <col min="13058" max="13058" width="17.5703125" style="16" bestFit="1" customWidth="1"/>
    <col min="13059" max="13059" width="8.5703125" style="16" bestFit="1" customWidth="1"/>
    <col min="13060" max="13060" width="30.85546875" style="16" bestFit="1" customWidth="1"/>
    <col min="13061" max="13063" width="13" style="16" customWidth="1"/>
    <col min="13064" max="13312" width="8.85546875" style="16"/>
    <col min="13313" max="13313" width="5.7109375" style="16" bestFit="1" customWidth="1"/>
    <col min="13314" max="13314" width="17.5703125" style="16" bestFit="1" customWidth="1"/>
    <col min="13315" max="13315" width="8.5703125" style="16" bestFit="1" customWidth="1"/>
    <col min="13316" max="13316" width="30.85546875" style="16" bestFit="1" customWidth="1"/>
    <col min="13317" max="13319" width="13" style="16" customWidth="1"/>
    <col min="13320" max="13568" width="8.85546875" style="16"/>
    <col min="13569" max="13569" width="5.7109375" style="16" bestFit="1" customWidth="1"/>
    <col min="13570" max="13570" width="17.5703125" style="16" bestFit="1" customWidth="1"/>
    <col min="13571" max="13571" width="8.5703125" style="16" bestFit="1" customWidth="1"/>
    <col min="13572" max="13572" width="30.85546875" style="16" bestFit="1" customWidth="1"/>
    <col min="13573" max="13575" width="13" style="16" customWidth="1"/>
    <col min="13576" max="13824" width="8.85546875" style="16"/>
    <col min="13825" max="13825" width="5.7109375" style="16" bestFit="1" customWidth="1"/>
    <col min="13826" max="13826" width="17.5703125" style="16" bestFit="1" customWidth="1"/>
    <col min="13827" max="13827" width="8.5703125" style="16" bestFit="1" customWidth="1"/>
    <col min="13828" max="13828" width="30.85546875" style="16" bestFit="1" customWidth="1"/>
    <col min="13829" max="13831" width="13" style="16" customWidth="1"/>
    <col min="13832" max="14080" width="8.85546875" style="16"/>
    <col min="14081" max="14081" width="5.7109375" style="16" bestFit="1" customWidth="1"/>
    <col min="14082" max="14082" width="17.5703125" style="16" bestFit="1" customWidth="1"/>
    <col min="14083" max="14083" width="8.5703125" style="16" bestFit="1" customWidth="1"/>
    <col min="14084" max="14084" width="30.85546875" style="16" bestFit="1" customWidth="1"/>
    <col min="14085" max="14087" width="13" style="16" customWidth="1"/>
    <col min="14088" max="14336" width="8.85546875" style="16"/>
    <col min="14337" max="14337" width="5.7109375" style="16" bestFit="1" customWidth="1"/>
    <col min="14338" max="14338" width="17.5703125" style="16" bestFit="1" customWidth="1"/>
    <col min="14339" max="14339" width="8.5703125" style="16" bestFit="1" customWidth="1"/>
    <col min="14340" max="14340" width="30.85546875" style="16" bestFit="1" customWidth="1"/>
    <col min="14341" max="14343" width="13" style="16" customWidth="1"/>
    <col min="14344" max="14592" width="8.85546875" style="16"/>
    <col min="14593" max="14593" width="5.7109375" style="16" bestFit="1" customWidth="1"/>
    <col min="14594" max="14594" width="17.5703125" style="16" bestFit="1" customWidth="1"/>
    <col min="14595" max="14595" width="8.5703125" style="16" bestFit="1" customWidth="1"/>
    <col min="14596" max="14596" width="30.85546875" style="16" bestFit="1" customWidth="1"/>
    <col min="14597" max="14599" width="13" style="16" customWidth="1"/>
    <col min="14600" max="14848" width="8.85546875" style="16"/>
    <col min="14849" max="14849" width="5.7109375" style="16" bestFit="1" customWidth="1"/>
    <col min="14850" max="14850" width="17.5703125" style="16" bestFit="1" customWidth="1"/>
    <col min="14851" max="14851" width="8.5703125" style="16" bestFit="1" customWidth="1"/>
    <col min="14852" max="14852" width="30.85546875" style="16" bestFit="1" customWidth="1"/>
    <col min="14853" max="14855" width="13" style="16" customWidth="1"/>
    <col min="14856" max="15104" width="8.85546875" style="16"/>
    <col min="15105" max="15105" width="5.7109375" style="16" bestFit="1" customWidth="1"/>
    <col min="15106" max="15106" width="17.5703125" style="16" bestFit="1" customWidth="1"/>
    <col min="15107" max="15107" width="8.5703125" style="16" bestFit="1" customWidth="1"/>
    <col min="15108" max="15108" width="30.85546875" style="16" bestFit="1" customWidth="1"/>
    <col min="15109" max="15111" width="13" style="16" customWidth="1"/>
    <col min="15112" max="15360" width="8.85546875" style="16"/>
    <col min="15361" max="15361" width="5.7109375" style="16" bestFit="1" customWidth="1"/>
    <col min="15362" max="15362" width="17.5703125" style="16" bestFit="1" customWidth="1"/>
    <col min="15363" max="15363" width="8.5703125" style="16" bestFit="1" customWidth="1"/>
    <col min="15364" max="15364" width="30.85546875" style="16" bestFit="1" customWidth="1"/>
    <col min="15365" max="15367" width="13" style="16" customWidth="1"/>
    <col min="15368" max="15616" width="8.85546875" style="16"/>
    <col min="15617" max="15617" width="5.7109375" style="16" bestFit="1" customWidth="1"/>
    <col min="15618" max="15618" width="17.5703125" style="16" bestFit="1" customWidth="1"/>
    <col min="15619" max="15619" width="8.5703125" style="16" bestFit="1" customWidth="1"/>
    <col min="15620" max="15620" width="30.85546875" style="16" bestFit="1" customWidth="1"/>
    <col min="15621" max="15623" width="13" style="16" customWidth="1"/>
    <col min="15624" max="15872" width="8.85546875" style="16"/>
    <col min="15873" max="15873" width="5.7109375" style="16" bestFit="1" customWidth="1"/>
    <col min="15874" max="15874" width="17.5703125" style="16" bestFit="1" customWidth="1"/>
    <col min="15875" max="15875" width="8.5703125" style="16" bestFit="1" customWidth="1"/>
    <col min="15876" max="15876" width="30.85546875" style="16" bestFit="1" customWidth="1"/>
    <col min="15877" max="15879" width="13" style="16" customWidth="1"/>
    <col min="15880" max="16128" width="8.85546875" style="16"/>
    <col min="16129" max="16129" width="5.7109375" style="16" bestFit="1" customWidth="1"/>
    <col min="16130" max="16130" width="17.5703125" style="16" bestFit="1" customWidth="1"/>
    <col min="16131" max="16131" width="8.5703125" style="16" bestFit="1" customWidth="1"/>
    <col min="16132" max="16132" width="30.85546875" style="16" bestFit="1" customWidth="1"/>
    <col min="16133" max="16135" width="13" style="16" customWidth="1"/>
    <col min="16136" max="16384" width="8.85546875" style="16"/>
  </cols>
  <sheetData>
    <row r="1" spans="1:7" x14ac:dyDescent="0.25">
      <c r="F1" s="405" t="s">
        <v>116</v>
      </c>
      <c r="G1" s="405"/>
    </row>
    <row r="2" spans="1:7" ht="16.5" x14ac:dyDescent="0.25">
      <c r="A2" s="407" t="s">
        <v>272</v>
      </c>
      <c r="B2" s="407"/>
      <c r="C2" s="407"/>
      <c r="D2" s="407"/>
      <c r="E2" s="231" t="s">
        <v>45</v>
      </c>
      <c r="F2" s="408"/>
      <c r="G2" s="408"/>
    </row>
    <row r="3" spans="1:7" ht="3.6" customHeight="1" x14ac:dyDescent="0.25"/>
    <row r="4" spans="1:7" ht="16.5" x14ac:dyDescent="0.3">
      <c r="A4" s="406" t="s">
        <v>271</v>
      </c>
      <c r="B4" s="406"/>
      <c r="C4" s="406"/>
      <c r="D4" s="406"/>
      <c r="E4" s="406"/>
      <c r="F4" s="406"/>
      <c r="G4" s="406"/>
    </row>
    <row r="5" spans="1:7" ht="3.6" customHeight="1" x14ac:dyDescent="0.3">
      <c r="A5" s="17"/>
      <c r="B5" s="17"/>
      <c r="C5" s="17"/>
      <c r="D5" s="17"/>
      <c r="E5" s="17"/>
      <c r="F5" s="17"/>
      <c r="G5" s="17"/>
    </row>
    <row r="6" spans="1:7" ht="15.75" x14ac:dyDescent="0.3">
      <c r="A6" s="17"/>
      <c r="B6" s="17"/>
      <c r="C6" s="17"/>
      <c r="D6" s="17"/>
      <c r="E6" s="404" t="s">
        <v>117</v>
      </c>
      <c r="F6" s="404"/>
      <c r="G6" s="404"/>
    </row>
    <row r="7" spans="1:7" ht="3.6" customHeight="1" thickBot="1" x14ac:dyDescent="0.3">
      <c r="E7" s="405"/>
      <c r="F7" s="405"/>
      <c r="G7" s="405"/>
    </row>
    <row r="8" spans="1:7" s="1" customFormat="1" ht="29.25" thickBot="1" x14ac:dyDescent="0.3">
      <c r="A8" s="81" t="s">
        <v>14</v>
      </c>
      <c r="B8" s="81" t="s">
        <v>0</v>
      </c>
      <c r="C8" s="91" t="s">
        <v>118</v>
      </c>
      <c r="D8" s="81" t="s">
        <v>119</v>
      </c>
      <c r="E8" s="82" t="s">
        <v>120</v>
      </c>
      <c r="F8" s="82" t="s">
        <v>121</v>
      </c>
      <c r="G8" s="91" t="s">
        <v>122</v>
      </c>
    </row>
    <row r="9" spans="1:7" ht="15.75" thickBot="1" x14ac:dyDescent="0.3">
      <c r="A9" s="92">
        <v>1</v>
      </c>
      <c r="B9" s="93" t="str">
        <f>'Result Analysis XII'!L1</f>
        <v>Kareera, Mohindergarh</v>
      </c>
      <c r="C9" s="94" t="e">
        <f>'Result Analysis XII'!K91</f>
        <v>#DIV/0!</v>
      </c>
      <c r="D9" s="95" t="s">
        <v>146</v>
      </c>
      <c r="E9" s="106">
        <f>'Result Analysis XII'!K86</f>
        <v>0</v>
      </c>
      <c r="F9" s="106">
        <f>'Result Analysis XII'!K85</f>
        <v>0</v>
      </c>
      <c r="G9" s="97" t="e">
        <f>F9/E9</f>
        <v>#DIV/0!</v>
      </c>
    </row>
    <row r="10" spans="1:7" x14ac:dyDescent="0.25">
      <c r="A10" s="21"/>
      <c r="B10" s="22"/>
      <c r="C10" s="23"/>
      <c r="D10" s="24"/>
      <c r="E10" s="25"/>
      <c r="F10" s="25"/>
      <c r="G10" s="26"/>
    </row>
    <row r="11" spans="1:7" ht="15.75" x14ac:dyDescent="0.3">
      <c r="A11" s="17"/>
      <c r="B11" s="17"/>
      <c r="C11" s="17"/>
      <c r="D11" s="17"/>
      <c r="E11" s="404" t="s">
        <v>123</v>
      </c>
      <c r="F11" s="404"/>
      <c r="G11" s="404"/>
    </row>
    <row r="12" spans="1:7" ht="3.6" customHeight="1" thickBot="1" x14ac:dyDescent="0.3">
      <c r="E12" s="405"/>
      <c r="F12" s="405"/>
      <c r="G12" s="405"/>
    </row>
    <row r="13" spans="1:7" ht="29.25" thickBot="1" x14ac:dyDescent="0.3">
      <c r="A13" s="81" t="s">
        <v>14</v>
      </c>
      <c r="B13" s="81" t="s">
        <v>0</v>
      </c>
      <c r="C13" s="91" t="s">
        <v>118</v>
      </c>
      <c r="D13" s="81" t="s">
        <v>119</v>
      </c>
      <c r="E13" s="82" t="s">
        <v>120</v>
      </c>
      <c r="F13" s="82" t="s">
        <v>121</v>
      </c>
      <c r="G13" s="91" t="s">
        <v>122</v>
      </c>
    </row>
    <row r="14" spans="1:7" ht="15.75" thickBot="1" x14ac:dyDescent="0.3">
      <c r="A14" s="92">
        <v>1</v>
      </c>
      <c r="B14" s="93" t="str">
        <f>B9</f>
        <v>Kareera, Mohindergarh</v>
      </c>
      <c r="C14" s="94"/>
      <c r="D14" s="95"/>
      <c r="E14" s="96"/>
      <c r="F14" s="96"/>
      <c r="G14" s="97" t="e">
        <f>F14/E14</f>
        <v>#DIV/0!</v>
      </c>
    </row>
    <row r="16" spans="1:7" ht="15.75" x14ac:dyDescent="0.3">
      <c r="A16" s="17"/>
      <c r="B16" s="17"/>
      <c r="C16" s="17"/>
      <c r="D16" s="17"/>
      <c r="E16" s="404" t="s">
        <v>124</v>
      </c>
      <c r="F16" s="404"/>
      <c r="G16" s="404"/>
    </row>
    <row r="17" spans="1:9" ht="3.6" customHeight="1" thickBot="1" x14ac:dyDescent="0.3">
      <c r="E17" s="405"/>
      <c r="F17" s="405"/>
      <c r="G17" s="405"/>
    </row>
    <row r="18" spans="1:9" ht="29.25" thickBot="1" x14ac:dyDescent="0.3">
      <c r="A18" s="81" t="s">
        <v>14</v>
      </c>
      <c r="B18" s="81" t="s">
        <v>0</v>
      </c>
      <c r="C18" s="91" t="s">
        <v>118</v>
      </c>
      <c r="D18" s="81" t="s">
        <v>119</v>
      </c>
      <c r="E18" s="82" t="s">
        <v>120</v>
      </c>
      <c r="F18" s="82" t="s">
        <v>121</v>
      </c>
      <c r="G18" s="91" t="s">
        <v>122</v>
      </c>
    </row>
    <row r="19" spans="1:9" ht="15.75" thickBot="1" x14ac:dyDescent="0.3">
      <c r="A19" s="92">
        <v>1</v>
      </c>
      <c r="B19" s="93" t="str">
        <f>B14</f>
        <v>Kareera, Mohindergarh</v>
      </c>
      <c r="C19" s="94" t="e">
        <f>'Result Analysis XII'!J91</f>
        <v>#DIV/0!</v>
      </c>
      <c r="D19" s="95" t="s">
        <v>147</v>
      </c>
      <c r="E19" s="96">
        <f>'Result Analysis XII'!J87</f>
        <v>0</v>
      </c>
      <c r="F19" s="106">
        <f>'Result Analysis XII'!J85</f>
        <v>0</v>
      </c>
      <c r="G19" s="97" t="e">
        <f>F19/E19</f>
        <v>#DIV/0!</v>
      </c>
    </row>
    <row r="21" spans="1:9" ht="15.75" x14ac:dyDescent="0.3">
      <c r="A21" s="17"/>
      <c r="B21" s="17"/>
      <c r="C21" s="17"/>
      <c r="D21" s="17"/>
      <c r="E21" s="404" t="s">
        <v>125</v>
      </c>
      <c r="F21" s="404"/>
      <c r="G21" s="404"/>
    </row>
    <row r="22" spans="1:9" ht="3.6" customHeight="1" thickBot="1" x14ac:dyDescent="0.3">
      <c r="E22" s="405"/>
      <c r="F22" s="405"/>
      <c r="G22" s="405"/>
    </row>
    <row r="23" spans="1:9" ht="29.25" thickBot="1" x14ac:dyDescent="0.3">
      <c r="A23" s="81" t="s">
        <v>14</v>
      </c>
      <c r="B23" s="81" t="s">
        <v>0</v>
      </c>
      <c r="C23" s="91" t="s">
        <v>118</v>
      </c>
      <c r="D23" s="81" t="s">
        <v>119</v>
      </c>
      <c r="E23" s="82" t="s">
        <v>120</v>
      </c>
      <c r="F23" s="82" t="s">
        <v>121</v>
      </c>
      <c r="G23" s="91" t="s">
        <v>122</v>
      </c>
    </row>
    <row r="24" spans="1:9" ht="15.75" thickBot="1" x14ac:dyDescent="0.3">
      <c r="A24" s="92">
        <v>1</v>
      </c>
      <c r="B24" s="93" t="str">
        <f>B19</f>
        <v>Kareera, Mohindergarh</v>
      </c>
      <c r="C24" s="94" t="e">
        <f>'Result Analysis XII'!L91</f>
        <v>#DIV/0!</v>
      </c>
      <c r="D24" s="95" t="s">
        <v>148</v>
      </c>
      <c r="E24" s="96">
        <f>'Result Analysis XII'!L87</f>
        <v>0</v>
      </c>
      <c r="F24" s="106">
        <f>'Result Analysis XII'!L85</f>
        <v>0</v>
      </c>
      <c r="G24" s="97" t="e">
        <f>F24/E24</f>
        <v>#DIV/0!</v>
      </c>
    </row>
    <row r="26" spans="1:9" ht="15.75" x14ac:dyDescent="0.3">
      <c r="A26" s="17"/>
      <c r="B26" s="17"/>
      <c r="C26" s="17"/>
      <c r="D26" s="17"/>
      <c r="E26" s="404" t="s">
        <v>126</v>
      </c>
      <c r="F26" s="404"/>
      <c r="G26" s="404"/>
    </row>
    <row r="27" spans="1:9" ht="3.6" customHeight="1" thickBot="1" x14ac:dyDescent="0.3">
      <c r="E27" s="405"/>
      <c r="F27" s="405"/>
      <c r="G27" s="405"/>
    </row>
    <row r="28" spans="1:9" ht="29.25" thickBot="1" x14ac:dyDescent="0.3">
      <c r="A28" s="81" t="s">
        <v>14</v>
      </c>
      <c r="B28" s="81" t="s">
        <v>0</v>
      </c>
      <c r="C28" s="91" t="s">
        <v>118</v>
      </c>
      <c r="D28" s="81" t="s">
        <v>119</v>
      </c>
      <c r="E28" s="82" t="s">
        <v>120</v>
      </c>
      <c r="F28" s="82" t="s">
        <v>121</v>
      </c>
      <c r="G28" s="91" t="s">
        <v>122</v>
      </c>
    </row>
    <row r="29" spans="1:9" ht="15.75" thickBot="1" x14ac:dyDescent="0.3">
      <c r="A29" s="92">
        <v>1</v>
      </c>
      <c r="B29" s="93" t="str">
        <f>B24</f>
        <v>Kareera, Mohindergarh</v>
      </c>
      <c r="C29" s="94">
        <v>96.97</v>
      </c>
      <c r="D29" s="95" t="s">
        <v>191</v>
      </c>
      <c r="E29" s="96">
        <f>'Result Analysis XII'!M87</f>
        <v>0</v>
      </c>
      <c r="F29" s="106">
        <f>'Result Analysis XII'!M85</f>
        <v>0</v>
      </c>
      <c r="G29" s="97" t="e">
        <f>F29/E29</f>
        <v>#DIV/0!</v>
      </c>
      <c r="I29" s="16">
        <f>32/33</f>
        <v>0.96969696969696972</v>
      </c>
    </row>
    <row r="31" spans="1:9" ht="15.75" x14ac:dyDescent="0.3">
      <c r="A31" s="17"/>
      <c r="B31" s="17"/>
      <c r="C31" s="17"/>
      <c r="D31" s="17"/>
      <c r="E31" s="404" t="s">
        <v>127</v>
      </c>
      <c r="F31" s="404"/>
      <c r="G31" s="404"/>
    </row>
    <row r="32" spans="1:9" ht="3.6" customHeight="1" thickBot="1" x14ac:dyDescent="0.3">
      <c r="E32" s="405"/>
      <c r="F32" s="405"/>
      <c r="G32" s="405"/>
    </row>
    <row r="33" spans="1:7" ht="29.25" thickBot="1" x14ac:dyDescent="0.3">
      <c r="A33" s="81" t="s">
        <v>14</v>
      </c>
      <c r="B33" s="81" t="s">
        <v>0</v>
      </c>
      <c r="C33" s="91" t="s">
        <v>118</v>
      </c>
      <c r="D33" s="81" t="s">
        <v>119</v>
      </c>
      <c r="E33" s="82" t="s">
        <v>120</v>
      </c>
      <c r="F33" s="82" t="s">
        <v>121</v>
      </c>
      <c r="G33" s="91" t="s">
        <v>122</v>
      </c>
    </row>
    <row r="34" spans="1:7" ht="15.75" thickBot="1" x14ac:dyDescent="0.3">
      <c r="A34" s="92">
        <v>1</v>
      </c>
      <c r="B34" s="93" t="str">
        <f>B29</f>
        <v>Kareera, Mohindergarh</v>
      </c>
      <c r="C34" s="94">
        <v>96.97</v>
      </c>
      <c r="D34" s="95" t="s">
        <v>192</v>
      </c>
      <c r="E34" s="96">
        <f>'Result Analysis XII'!N87</f>
        <v>0</v>
      </c>
      <c r="F34" s="106">
        <f>'Result Analysis XII'!N85</f>
        <v>0</v>
      </c>
      <c r="G34" s="97" t="e">
        <f>F34/E34</f>
        <v>#DIV/0!</v>
      </c>
    </row>
    <row r="36" spans="1:7" ht="15.75" x14ac:dyDescent="0.3">
      <c r="A36" s="17"/>
      <c r="B36" s="17"/>
      <c r="C36" s="17"/>
      <c r="D36" s="17"/>
      <c r="E36" s="404" t="s">
        <v>128</v>
      </c>
      <c r="F36" s="404"/>
      <c r="G36" s="404"/>
    </row>
    <row r="37" spans="1:7" ht="3.6" customHeight="1" thickBot="1" x14ac:dyDescent="0.3">
      <c r="E37" s="405"/>
      <c r="F37" s="405"/>
      <c r="G37" s="405"/>
    </row>
    <row r="38" spans="1:7" ht="29.25" thickBot="1" x14ac:dyDescent="0.3">
      <c r="A38" s="81" t="s">
        <v>14</v>
      </c>
      <c r="B38" s="81" t="s">
        <v>0</v>
      </c>
      <c r="C38" s="91" t="s">
        <v>118</v>
      </c>
      <c r="D38" s="81" t="s">
        <v>119</v>
      </c>
      <c r="E38" s="82" t="s">
        <v>120</v>
      </c>
      <c r="F38" s="82" t="s">
        <v>121</v>
      </c>
      <c r="G38" s="91" t="s">
        <v>122</v>
      </c>
    </row>
    <row r="39" spans="1:7" ht="15.75" thickBot="1" x14ac:dyDescent="0.3">
      <c r="A39" s="92">
        <v>1</v>
      </c>
      <c r="B39" s="93" t="str">
        <f>B34</f>
        <v>Kareera, Mohindergarh</v>
      </c>
      <c r="C39" s="94">
        <v>71.33</v>
      </c>
      <c r="D39" s="95" t="s">
        <v>193</v>
      </c>
      <c r="E39" s="96">
        <f>'Result Analysis XII'!O87</f>
        <v>0</v>
      </c>
      <c r="F39" s="106">
        <f>'Result Analysis XII'!O85</f>
        <v>0</v>
      </c>
      <c r="G39" s="97" t="e">
        <f>F39/E39</f>
        <v>#DIV/0!</v>
      </c>
    </row>
    <row r="41" spans="1:7" ht="15.75" x14ac:dyDescent="0.3">
      <c r="A41" s="17"/>
      <c r="B41" s="17"/>
      <c r="C41" s="17"/>
      <c r="D41" s="17"/>
      <c r="E41" s="404" t="s">
        <v>129</v>
      </c>
      <c r="F41" s="404"/>
      <c r="G41" s="404"/>
    </row>
    <row r="42" spans="1:7" ht="3.6" customHeight="1" thickBot="1" x14ac:dyDescent="0.3">
      <c r="E42" s="405"/>
      <c r="F42" s="405"/>
      <c r="G42" s="405"/>
    </row>
    <row r="43" spans="1:7" ht="29.25" thickBot="1" x14ac:dyDescent="0.3">
      <c r="A43" s="81" t="s">
        <v>14</v>
      </c>
      <c r="B43" s="81" t="s">
        <v>0</v>
      </c>
      <c r="C43" s="91" t="s">
        <v>118</v>
      </c>
      <c r="D43" s="81" t="s">
        <v>119</v>
      </c>
      <c r="E43" s="82" t="s">
        <v>120</v>
      </c>
      <c r="F43" s="82" t="s">
        <v>121</v>
      </c>
      <c r="G43" s="91" t="s">
        <v>122</v>
      </c>
    </row>
    <row r="44" spans="1:7" ht="15.75" thickBot="1" x14ac:dyDescent="0.3">
      <c r="A44" s="92">
        <v>1</v>
      </c>
      <c r="B44" s="93" t="str">
        <f>B39</f>
        <v>Kareera, Mohindergarh</v>
      </c>
      <c r="C44" s="94"/>
      <c r="D44" s="95"/>
      <c r="E44" s="96"/>
      <c r="F44" s="96"/>
      <c r="G44" s="97" t="e">
        <f>F44/E44</f>
        <v>#DIV/0!</v>
      </c>
    </row>
    <row r="46" spans="1:7" ht="15.75" x14ac:dyDescent="0.3">
      <c r="A46" s="17"/>
      <c r="B46" s="17"/>
      <c r="C46" s="17"/>
      <c r="D46" s="17"/>
      <c r="E46" s="404" t="s">
        <v>130</v>
      </c>
      <c r="F46" s="404"/>
      <c r="G46" s="404"/>
    </row>
    <row r="47" spans="1:7" ht="3.6" customHeight="1" thickBot="1" x14ac:dyDescent="0.3">
      <c r="E47" s="405"/>
      <c r="F47" s="405"/>
      <c r="G47" s="405"/>
    </row>
    <row r="48" spans="1:7" ht="29.25" thickBot="1" x14ac:dyDescent="0.3">
      <c r="A48" s="81" t="s">
        <v>14</v>
      </c>
      <c r="B48" s="81" t="s">
        <v>0</v>
      </c>
      <c r="C48" s="91" t="s">
        <v>118</v>
      </c>
      <c r="D48" s="81" t="s">
        <v>119</v>
      </c>
      <c r="E48" s="82" t="s">
        <v>120</v>
      </c>
      <c r="F48" s="82" t="s">
        <v>121</v>
      </c>
      <c r="G48" s="91" t="s">
        <v>122</v>
      </c>
    </row>
    <row r="49" spans="1:7" ht="15.75" thickBot="1" x14ac:dyDescent="0.3">
      <c r="A49" s="92">
        <v>1</v>
      </c>
      <c r="B49" s="93" t="str">
        <f>B44</f>
        <v>Kareera, Mohindergarh</v>
      </c>
      <c r="C49" s="94"/>
      <c r="D49" s="95"/>
      <c r="E49" s="96"/>
      <c r="F49" s="96"/>
      <c r="G49" s="97" t="e">
        <f>F49/E49</f>
        <v>#DIV/0!</v>
      </c>
    </row>
    <row r="51" spans="1:7" ht="15.75" x14ac:dyDescent="0.3">
      <c r="A51" s="17"/>
      <c r="B51" s="17"/>
      <c r="C51" s="17"/>
      <c r="D51" s="17"/>
      <c r="E51" s="404" t="s">
        <v>131</v>
      </c>
      <c r="F51" s="404"/>
      <c r="G51" s="404"/>
    </row>
    <row r="52" spans="1:7" ht="3.6" customHeight="1" thickBot="1" x14ac:dyDescent="0.3">
      <c r="E52" s="405"/>
      <c r="F52" s="405"/>
      <c r="G52" s="405"/>
    </row>
    <row r="53" spans="1:7" ht="29.25" thickBot="1" x14ac:dyDescent="0.3">
      <c r="A53" s="81" t="s">
        <v>14</v>
      </c>
      <c r="B53" s="81" t="s">
        <v>0</v>
      </c>
      <c r="C53" s="91" t="s">
        <v>118</v>
      </c>
      <c r="D53" s="81" t="s">
        <v>119</v>
      </c>
      <c r="E53" s="82" t="s">
        <v>120</v>
      </c>
      <c r="F53" s="82" t="s">
        <v>121</v>
      </c>
      <c r="G53" s="91" t="s">
        <v>122</v>
      </c>
    </row>
    <row r="54" spans="1:7" ht="15.75" thickBot="1" x14ac:dyDescent="0.3">
      <c r="A54" s="92">
        <v>1</v>
      </c>
      <c r="B54" s="93" t="str">
        <f>B49</f>
        <v>Kareera, Mohindergarh</v>
      </c>
      <c r="C54" s="94" t="e">
        <f>'Result Analysis XII'!P91</f>
        <v>#DIV/0!</v>
      </c>
      <c r="D54" s="95" t="s">
        <v>194</v>
      </c>
      <c r="E54" s="96">
        <f>'Result Analysis XII'!P87</f>
        <v>0</v>
      </c>
      <c r="F54" s="106">
        <f>'Result Analysis XII'!P85</f>
        <v>0</v>
      </c>
      <c r="G54" s="97" t="e">
        <f>F54/E54</f>
        <v>#DIV/0!</v>
      </c>
    </row>
    <row r="56" spans="1:7" ht="15.75" x14ac:dyDescent="0.3">
      <c r="A56" s="17"/>
      <c r="B56" s="17"/>
      <c r="C56" s="17"/>
      <c r="D56" s="17"/>
      <c r="E56" s="404" t="s">
        <v>132</v>
      </c>
      <c r="F56" s="404"/>
      <c r="G56" s="404"/>
    </row>
    <row r="57" spans="1:7" ht="3.6" customHeight="1" thickBot="1" x14ac:dyDescent="0.3">
      <c r="E57" s="405"/>
      <c r="F57" s="405"/>
      <c r="G57" s="405"/>
    </row>
    <row r="58" spans="1:7" ht="29.25" thickBot="1" x14ac:dyDescent="0.3">
      <c r="A58" s="81" t="s">
        <v>14</v>
      </c>
      <c r="B58" s="81" t="s">
        <v>0</v>
      </c>
      <c r="C58" s="91" t="s">
        <v>118</v>
      </c>
      <c r="D58" s="81" t="s">
        <v>119</v>
      </c>
      <c r="E58" s="82" t="s">
        <v>120</v>
      </c>
      <c r="F58" s="82" t="s">
        <v>121</v>
      </c>
      <c r="G58" s="91" t="s">
        <v>122</v>
      </c>
    </row>
    <row r="59" spans="1:7" ht="15.75" thickBot="1" x14ac:dyDescent="0.3">
      <c r="A59" s="92">
        <v>1</v>
      </c>
      <c r="B59" s="93" t="str">
        <f>B54</f>
        <v>Kareera, Mohindergarh</v>
      </c>
      <c r="C59" s="94" t="e">
        <f>'Result Analysis XII'!R91</f>
        <v>#DIV/0!</v>
      </c>
      <c r="D59" s="95" t="s">
        <v>195</v>
      </c>
      <c r="E59" s="96">
        <f>'Result Analysis XII'!R87</f>
        <v>0</v>
      </c>
      <c r="F59" s="106">
        <f>'Result Analysis XII'!R85</f>
        <v>0</v>
      </c>
      <c r="G59" s="97" t="e">
        <f>F59/E59</f>
        <v>#DIV/0!</v>
      </c>
    </row>
    <row r="61" spans="1:7" ht="15.75" x14ac:dyDescent="0.3">
      <c r="A61" s="17"/>
      <c r="B61" s="17"/>
      <c r="C61" s="17"/>
      <c r="D61" s="17"/>
      <c r="E61" s="404" t="s">
        <v>133</v>
      </c>
      <c r="F61" s="404"/>
      <c r="G61" s="404"/>
    </row>
    <row r="62" spans="1:7" ht="3.6" customHeight="1" thickBot="1" x14ac:dyDescent="0.3">
      <c r="E62" s="405"/>
      <c r="F62" s="405"/>
      <c r="G62" s="405"/>
    </row>
    <row r="63" spans="1:7" ht="29.25" thickBot="1" x14ac:dyDescent="0.3">
      <c r="A63" s="81" t="s">
        <v>14</v>
      </c>
      <c r="B63" s="81" t="s">
        <v>0</v>
      </c>
      <c r="C63" s="91" t="s">
        <v>118</v>
      </c>
      <c r="D63" s="81" t="s">
        <v>119</v>
      </c>
      <c r="E63" s="82" t="s">
        <v>120</v>
      </c>
      <c r="F63" s="82" t="s">
        <v>121</v>
      </c>
      <c r="G63" s="91" t="s">
        <v>122</v>
      </c>
    </row>
    <row r="64" spans="1:7" ht="15.75" thickBot="1" x14ac:dyDescent="0.3">
      <c r="A64" s="92">
        <v>1</v>
      </c>
      <c r="B64" s="93" t="str">
        <f>B59</f>
        <v>Kareera, Mohindergarh</v>
      </c>
      <c r="C64" s="94" t="e">
        <f>'Result Analysis XII'!Q91</f>
        <v>#DIV/0!</v>
      </c>
      <c r="D64" s="95" t="s">
        <v>195</v>
      </c>
      <c r="E64" s="96">
        <f>'Result Analysis XII'!Q87</f>
        <v>0</v>
      </c>
      <c r="F64" s="106">
        <f>'Result Analysis XII'!Q85</f>
        <v>0</v>
      </c>
      <c r="G64" s="97" t="e">
        <f>F64/E64</f>
        <v>#DIV/0!</v>
      </c>
    </row>
    <row r="66" spans="1:7" ht="15.75" x14ac:dyDescent="0.3">
      <c r="A66" s="17"/>
      <c r="B66" s="17"/>
      <c r="C66" s="17"/>
      <c r="D66" s="17"/>
      <c r="E66" s="404" t="s">
        <v>134</v>
      </c>
      <c r="F66" s="404"/>
      <c r="G66" s="404"/>
    </row>
    <row r="67" spans="1:7" ht="3.6" customHeight="1" thickBot="1" x14ac:dyDescent="0.3">
      <c r="E67" s="405"/>
      <c r="F67" s="405"/>
      <c r="G67" s="405"/>
    </row>
    <row r="68" spans="1:7" ht="29.25" thickBot="1" x14ac:dyDescent="0.3">
      <c r="A68" s="81" t="s">
        <v>14</v>
      </c>
      <c r="B68" s="81" t="s">
        <v>0</v>
      </c>
      <c r="C68" s="91" t="s">
        <v>118</v>
      </c>
      <c r="D68" s="81" t="s">
        <v>119</v>
      </c>
      <c r="E68" s="82" t="s">
        <v>120</v>
      </c>
      <c r="F68" s="82" t="s">
        <v>121</v>
      </c>
      <c r="G68" s="91" t="s">
        <v>122</v>
      </c>
    </row>
    <row r="69" spans="1:7" ht="15.75" thickBot="1" x14ac:dyDescent="0.3">
      <c r="A69" s="92">
        <v>1</v>
      </c>
      <c r="B69" s="93" t="str">
        <f>B64</f>
        <v>Kareera, Mohindergarh</v>
      </c>
      <c r="C69" s="94"/>
      <c r="D69" s="95"/>
      <c r="E69" s="96"/>
      <c r="F69" s="96"/>
      <c r="G69" s="97" t="e">
        <f>F69/E69</f>
        <v>#DIV/0!</v>
      </c>
    </row>
    <row r="71" spans="1:7" ht="15.75" x14ac:dyDescent="0.3">
      <c r="A71" s="17"/>
      <c r="B71" s="17"/>
      <c r="C71" s="17"/>
      <c r="D71" s="17"/>
      <c r="E71" s="404" t="s">
        <v>135</v>
      </c>
      <c r="F71" s="404"/>
      <c r="G71" s="404"/>
    </row>
    <row r="72" spans="1:7" ht="3.6" customHeight="1" thickBot="1" x14ac:dyDescent="0.3">
      <c r="E72" s="405"/>
      <c r="F72" s="405"/>
      <c r="G72" s="405"/>
    </row>
    <row r="73" spans="1:7" ht="29.25" thickBot="1" x14ac:dyDescent="0.3">
      <c r="A73" s="81" t="s">
        <v>14</v>
      </c>
      <c r="B73" s="81" t="s">
        <v>0</v>
      </c>
      <c r="C73" s="91" t="s">
        <v>118</v>
      </c>
      <c r="D73" s="81" t="s">
        <v>119</v>
      </c>
      <c r="E73" s="82" t="s">
        <v>120</v>
      </c>
      <c r="F73" s="82" t="s">
        <v>121</v>
      </c>
      <c r="G73" s="91" t="s">
        <v>122</v>
      </c>
    </row>
    <row r="74" spans="1:7" ht="15.75" thickBot="1" x14ac:dyDescent="0.3">
      <c r="A74" s="92">
        <v>1</v>
      </c>
      <c r="B74" s="93" t="str">
        <f>B69</f>
        <v>Kareera, Mohindergarh</v>
      </c>
      <c r="C74" s="94" t="e">
        <f>'Result Analysis XII'!S91</f>
        <v>#DIV/0!</v>
      </c>
      <c r="D74" s="95" t="s">
        <v>149</v>
      </c>
      <c r="E74" s="96">
        <f>'Result Analysis XII'!S87</f>
        <v>0</v>
      </c>
      <c r="F74" s="106">
        <f>'Result Analysis XII'!S85</f>
        <v>0</v>
      </c>
      <c r="G74" s="97" t="e">
        <f>F74/E74</f>
        <v>#DIV/0!</v>
      </c>
    </row>
    <row r="76" spans="1:7" ht="15.75" x14ac:dyDescent="0.3">
      <c r="A76" s="17"/>
      <c r="B76" s="17"/>
      <c r="C76" s="17"/>
      <c r="D76" s="17"/>
      <c r="E76" s="404" t="s">
        <v>136</v>
      </c>
      <c r="F76" s="404"/>
      <c r="G76" s="404"/>
    </row>
    <row r="77" spans="1:7" ht="3.6" customHeight="1" thickBot="1" x14ac:dyDescent="0.3">
      <c r="E77" s="405"/>
      <c r="F77" s="405"/>
      <c r="G77" s="405"/>
    </row>
    <row r="78" spans="1:7" ht="29.25" thickBot="1" x14ac:dyDescent="0.3">
      <c r="A78" s="81" t="s">
        <v>14</v>
      </c>
      <c r="B78" s="81" t="s">
        <v>0</v>
      </c>
      <c r="C78" s="91" t="s">
        <v>118</v>
      </c>
      <c r="D78" s="81" t="s">
        <v>119</v>
      </c>
      <c r="E78" s="82" t="s">
        <v>120</v>
      </c>
      <c r="F78" s="82" t="s">
        <v>121</v>
      </c>
      <c r="G78" s="91" t="s">
        <v>122</v>
      </c>
    </row>
    <row r="79" spans="1:7" ht="15.75" thickBot="1" x14ac:dyDescent="0.3">
      <c r="A79" s="92">
        <v>1</v>
      </c>
      <c r="B79" s="93" t="str">
        <f>B74</f>
        <v>Kareera, Mohindergarh</v>
      </c>
      <c r="C79" s="94">
        <f>'Result Analysis XII'!T91</f>
        <v>0</v>
      </c>
      <c r="D79" s="95" t="s">
        <v>149</v>
      </c>
      <c r="E79" s="96">
        <f>'Result Analysis XII'!T87</f>
        <v>1</v>
      </c>
      <c r="F79" s="106">
        <f>'Result Analysis XII'!T85</f>
        <v>5</v>
      </c>
      <c r="G79" s="97">
        <f>F79/E79</f>
        <v>5</v>
      </c>
    </row>
    <row r="81" spans="1:7" ht="15.75" x14ac:dyDescent="0.3">
      <c r="A81" s="17"/>
      <c r="B81" s="17"/>
      <c r="C81" s="17"/>
      <c r="D81" s="17"/>
      <c r="E81" s="404" t="s">
        <v>137</v>
      </c>
      <c r="F81" s="404"/>
      <c r="G81" s="404"/>
    </row>
    <row r="82" spans="1:7" ht="3.6" customHeight="1" thickBot="1" x14ac:dyDescent="0.3">
      <c r="E82" s="405"/>
      <c r="F82" s="405"/>
      <c r="G82" s="405"/>
    </row>
    <row r="83" spans="1:7" ht="29.25" thickBot="1" x14ac:dyDescent="0.3">
      <c r="A83" s="81" t="s">
        <v>14</v>
      </c>
      <c r="B83" s="81" t="s">
        <v>0</v>
      </c>
      <c r="C83" s="91" t="s">
        <v>118</v>
      </c>
      <c r="D83" s="81" t="s">
        <v>119</v>
      </c>
      <c r="E83" s="82" t="s">
        <v>120</v>
      </c>
      <c r="F83" s="82" t="s">
        <v>121</v>
      </c>
      <c r="G83" s="91" t="s">
        <v>122</v>
      </c>
    </row>
    <row r="84" spans="1:7" ht="15.75" thickBot="1" x14ac:dyDescent="0.3">
      <c r="A84" s="92">
        <v>1</v>
      </c>
      <c r="B84" s="93" t="str">
        <f>B79</f>
        <v>Kareera, Mohindergarh</v>
      </c>
      <c r="C84" s="94"/>
      <c r="D84" s="95"/>
      <c r="E84" s="96"/>
      <c r="F84" s="96"/>
      <c r="G84" s="97" t="e">
        <f>F84/E84</f>
        <v>#DIV/0!</v>
      </c>
    </row>
    <row r="86" spans="1:7" ht="15.75" x14ac:dyDescent="0.3">
      <c r="A86" s="17"/>
      <c r="B86" s="17"/>
      <c r="C86" s="17"/>
      <c r="D86" s="17"/>
      <c r="E86" s="404" t="s">
        <v>138</v>
      </c>
      <c r="F86" s="404"/>
      <c r="G86" s="404"/>
    </row>
    <row r="87" spans="1:7" ht="3.6" customHeight="1" thickBot="1" x14ac:dyDescent="0.3">
      <c r="E87" s="405"/>
      <c r="F87" s="405"/>
      <c r="G87" s="405"/>
    </row>
    <row r="88" spans="1:7" ht="29.25" thickBot="1" x14ac:dyDescent="0.3">
      <c r="A88" s="81" t="s">
        <v>14</v>
      </c>
      <c r="B88" s="81" t="s">
        <v>0</v>
      </c>
      <c r="C88" s="91" t="s">
        <v>118</v>
      </c>
      <c r="D88" s="81" t="s">
        <v>119</v>
      </c>
      <c r="E88" s="82" t="s">
        <v>120</v>
      </c>
      <c r="F88" s="82" t="s">
        <v>121</v>
      </c>
      <c r="G88" s="91" t="s">
        <v>122</v>
      </c>
    </row>
    <row r="89" spans="1:7" ht="15.75" thickBot="1" x14ac:dyDescent="0.3">
      <c r="A89" s="92">
        <v>1</v>
      </c>
      <c r="B89" s="93" t="str">
        <f>B84</f>
        <v>Kareera, Mohindergarh</v>
      </c>
      <c r="C89" s="94"/>
      <c r="D89" s="95"/>
      <c r="E89" s="96"/>
      <c r="F89" s="96"/>
      <c r="G89" s="97" t="e">
        <f>F89/E89</f>
        <v>#DIV/0!</v>
      </c>
    </row>
    <row r="91" spans="1:7" ht="15.75" x14ac:dyDescent="0.3">
      <c r="A91" s="17"/>
      <c r="B91" s="17"/>
      <c r="C91" s="17"/>
      <c r="D91" s="17"/>
      <c r="E91" s="404" t="s">
        <v>139</v>
      </c>
      <c r="F91" s="404"/>
      <c r="G91" s="404"/>
    </row>
    <row r="92" spans="1:7" ht="3.6" customHeight="1" thickBot="1" x14ac:dyDescent="0.3">
      <c r="E92" s="405"/>
      <c r="F92" s="405"/>
      <c r="G92" s="405"/>
    </row>
    <row r="93" spans="1:7" ht="29.25" thickBot="1" x14ac:dyDescent="0.3">
      <c r="A93" s="81" t="s">
        <v>14</v>
      </c>
      <c r="B93" s="81" t="s">
        <v>0</v>
      </c>
      <c r="C93" s="91" t="s">
        <v>118</v>
      </c>
      <c r="D93" s="81" t="s">
        <v>119</v>
      </c>
      <c r="E93" s="82" t="s">
        <v>120</v>
      </c>
      <c r="F93" s="82" t="s">
        <v>121</v>
      </c>
      <c r="G93" s="91" t="s">
        <v>122</v>
      </c>
    </row>
    <row r="94" spans="1:7" ht="15.75" thickBot="1" x14ac:dyDescent="0.3">
      <c r="A94" s="92">
        <v>1</v>
      </c>
      <c r="B94" s="93" t="str">
        <f>B89</f>
        <v>Kareera, Mohindergarh</v>
      </c>
      <c r="C94" s="94"/>
      <c r="D94" s="95"/>
      <c r="E94" s="96"/>
      <c r="F94" s="96"/>
      <c r="G94" s="97" t="e">
        <f>F94/E94</f>
        <v>#DIV/0!</v>
      </c>
    </row>
    <row r="96" spans="1:7" ht="15.75" x14ac:dyDescent="0.3">
      <c r="A96" s="17"/>
      <c r="B96" s="17"/>
      <c r="C96" s="17"/>
      <c r="D96" s="17"/>
      <c r="E96" s="404" t="s">
        <v>140</v>
      </c>
      <c r="F96" s="404"/>
      <c r="G96" s="404"/>
    </row>
    <row r="97" spans="1:7" ht="3.6" customHeight="1" thickBot="1" x14ac:dyDescent="0.3">
      <c r="E97" s="405"/>
      <c r="F97" s="405"/>
      <c r="G97" s="405"/>
    </row>
    <row r="98" spans="1:7" ht="29.25" thickBot="1" x14ac:dyDescent="0.3">
      <c r="A98" s="81" t="s">
        <v>14</v>
      </c>
      <c r="B98" s="81" t="s">
        <v>0</v>
      </c>
      <c r="C98" s="91" t="s">
        <v>118</v>
      </c>
      <c r="D98" s="81" t="s">
        <v>119</v>
      </c>
      <c r="E98" s="82" t="s">
        <v>120</v>
      </c>
      <c r="F98" s="82" t="s">
        <v>121</v>
      </c>
      <c r="G98" s="91" t="s">
        <v>122</v>
      </c>
    </row>
    <row r="99" spans="1:7" ht="15.75" thickBot="1" x14ac:dyDescent="0.3">
      <c r="A99" s="92">
        <v>1</v>
      </c>
      <c r="B99" s="93" t="str">
        <f>B94</f>
        <v>Kareera, Mohindergarh</v>
      </c>
      <c r="C99" s="94"/>
      <c r="D99" s="95"/>
      <c r="E99" s="96"/>
      <c r="F99" s="96"/>
      <c r="G99" s="97" t="e">
        <f>F99/E99</f>
        <v>#DIV/0!</v>
      </c>
    </row>
    <row r="101" spans="1:7" ht="15.75" x14ac:dyDescent="0.3">
      <c r="A101" s="17"/>
      <c r="B101" s="17"/>
      <c r="C101" s="17"/>
      <c r="D101" s="17"/>
      <c r="E101" s="404" t="s">
        <v>141</v>
      </c>
      <c r="F101" s="404"/>
      <c r="G101" s="404"/>
    </row>
    <row r="102" spans="1:7" ht="3.6" customHeight="1" thickBot="1" x14ac:dyDescent="0.3">
      <c r="E102" s="405"/>
      <c r="F102" s="405"/>
      <c r="G102" s="405"/>
    </row>
    <row r="103" spans="1:7" ht="29.25" thickBot="1" x14ac:dyDescent="0.3">
      <c r="A103" s="81" t="s">
        <v>14</v>
      </c>
      <c r="B103" s="81" t="s">
        <v>0</v>
      </c>
      <c r="C103" s="91" t="s">
        <v>118</v>
      </c>
      <c r="D103" s="81" t="s">
        <v>119</v>
      </c>
      <c r="E103" s="82" t="s">
        <v>120</v>
      </c>
      <c r="F103" s="82" t="s">
        <v>121</v>
      </c>
      <c r="G103" s="91" t="s">
        <v>122</v>
      </c>
    </row>
    <row r="104" spans="1:7" ht="15.75" thickBot="1" x14ac:dyDescent="0.3">
      <c r="A104" s="92">
        <v>1</v>
      </c>
      <c r="B104" s="93" t="str">
        <f>B99</f>
        <v>Kareera, Mohindergarh</v>
      </c>
      <c r="C104" s="94"/>
      <c r="D104" s="95"/>
      <c r="E104" s="96"/>
      <c r="F104" s="96"/>
      <c r="G104" s="97" t="e">
        <f>F104/E104</f>
        <v>#DIV/0!</v>
      </c>
    </row>
    <row r="106" spans="1:7" ht="15.75" x14ac:dyDescent="0.3">
      <c r="A106" s="17"/>
      <c r="B106" s="17"/>
      <c r="C106" s="17"/>
      <c r="D106" s="17"/>
      <c r="E106" s="404" t="s">
        <v>142</v>
      </c>
      <c r="F106" s="404"/>
      <c r="G106" s="404"/>
    </row>
    <row r="107" spans="1:7" ht="3.6" customHeight="1" thickBot="1" x14ac:dyDescent="0.3">
      <c r="E107" s="405"/>
      <c r="F107" s="405"/>
      <c r="G107" s="405"/>
    </row>
    <row r="108" spans="1:7" ht="29.25" thickBot="1" x14ac:dyDescent="0.3">
      <c r="A108" s="81" t="s">
        <v>14</v>
      </c>
      <c r="B108" s="81" t="s">
        <v>0</v>
      </c>
      <c r="C108" s="91" t="s">
        <v>118</v>
      </c>
      <c r="D108" s="81" t="s">
        <v>119</v>
      </c>
      <c r="E108" s="82" t="s">
        <v>120</v>
      </c>
      <c r="F108" s="82" t="s">
        <v>121</v>
      </c>
      <c r="G108" s="91" t="s">
        <v>122</v>
      </c>
    </row>
    <row r="109" spans="1:7" ht="15.75" thickBot="1" x14ac:dyDescent="0.3">
      <c r="A109" s="92">
        <v>1</v>
      </c>
      <c r="B109" s="93" t="str">
        <f>B104</f>
        <v>Kareera, Mohindergarh</v>
      </c>
      <c r="C109" s="94"/>
      <c r="D109" s="95"/>
      <c r="E109" s="96"/>
      <c r="F109" s="96"/>
      <c r="G109" s="97" t="e">
        <f>F109/E109</f>
        <v>#DIV/0!</v>
      </c>
    </row>
    <row r="111" spans="1:7" ht="15.75" x14ac:dyDescent="0.3">
      <c r="A111" s="17"/>
      <c r="B111" s="17"/>
      <c r="C111" s="17"/>
      <c r="D111" s="17"/>
      <c r="E111" s="404" t="s">
        <v>143</v>
      </c>
      <c r="F111" s="404"/>
      <c r="G111" s="404"/>
    </row>
    <row r="112" spans="1:7" ht="3.6" customHeight="1" thickBot="1" x14ac:dyDescent="0.3">
      <c r="E112" s="405"/>
      <c r="F112" s="405"/>
      <c r="G112" s="405"/>
    </row>
    <row r="113" spans="1:7" ht="29.25" thickBot="1" x14ac:dyDescent="0.3">
      <c r="A113" s="81" t="s">
        <v>14</v>
      </c>
      <c r="B113" s="81" t="s">
        <v>0</v>
      </c>
      <c r="C113" s="91" t="s">
        <v>118</v>
      </c>
      <c r="D113" s="81" t="s">
        <v>119</v>
      </c>
      <c r="E113" s="82" t="s">
        <v>120</v>
      </c>
      <c r="F113" s="82" t="s">
        <v>121</v>
      </c>
      <c r="G113" s="91" t="s">
        <v>122</v>
      </c>
    </row>
    <row r="114" spans="1:7" ht="15.75" thickBot="1" x14ac:dyDescent="0.3">
      <c r="A114" s="92">
        <v>1</v>
      </c>
      <c r="B114" s="93" t="str">
        <f>B109</f>
        <v>Kareera, Mohindergarh</v>
      </c>
      <c r="C114" s="94"/>
      <c r="D114" s="95"/>
      <c r="E114" s="96"/>
      <c r="F114" s="96"/>
      <c r="G114" s="97" t="e">
        <f>F114/E114</f>
        <v>#DIV/0!</v>
      </c>
    </row>
    <row r="116" spans="1:7" ht="15.75" x14ac:dyDescent="0.3">
      <c r="A116" s="17"/>
      <c r="B116" s="17"/>
      <c r="C116" s="17"/>
      <c r="D116" s="17"/>
      <c r="E116" s="404" t="s">
        <v>144</v>
      </c>
      <c r="F116" s="404"/>
      <c r="G116" s="404"/>
    </row>
    <row r="117" spans="1:7" ht="3.6" customHeight="1" thickBot="1" x14ac:dyDescent="0.3">
      <c r="E117" s="405"/>
      <c r="F117" s="405"/>
      <c r="G117" s="405"/>
    </row>
    <row r="118" spans="1:7" ht="29.25" thickBot="1" x14ac:dyDescent="0.3">
      <c r="A118" s="81" t="s">
        <v>14</v>
      </c>
      <c r="B118" s="81" t="s">
        <v>0</v>
      </c>
      <c r="C118" s="91" t="s">
        <v>118</v>
      </c>
      <c r="D118" s="81" t="s">
        <v>119</v>
      </c>
      <c r="E118" s="82" t="s">
        <v>120</v>
      </c>
      <c r="F118" s="82" t="s">
        <v>121</v>
      </c>
      <c r="G118" s="91" t="s">
        <v>122</v>
      </c>
    </row>
    <row r="119" spans="1:7" ht="15.75" thickBot="1" x14ac:dyDescent="0.3">
      <c r="A119" s="92">
        <v>1</v>
      </c>
      <c r="B119" s="93" t="str">
        <f>B114</f>
        <v>Kareera, Mohindergarh</v>
      </c>
      <c r="C119" s="94"/>
      <c r="D119" s="95"/>
      <c r="E119" s="96"/>
      <c r="F119" s="96"/>
      <c r="G119" s="97" t="e">
        <f>F119/E119</f>
        <v>#DIV/0!</v>
      </c>
    </row>
    <row r="121" spans="1:7" ht="15.75" x14ac:dyDescent="0.3">
      <c r="A121" s="17"/>
      <c r="B121" s="17"/>
      <c r="C121" s="17"/>
      <c r="D121" s="17"/>
      <c r="E121" s="404" t="s">
        <v>145</v>
      </c>
      <c r="F121" s="404"/>
      <c r="G121" s="404"/>
    </row>
    <row r="122" spans="1:7" ht="3.6" customHeight="1" thickBot="1" x14ac:dyDescent="0.3">
      <c r="E122" s="405"/>
      <c r="F122" s="405"/>
      <c r="G122" s="405"/>
    </row>
    <row r="123" spans="1:7" ht="29.25" thickBot="1" x14ac:dyDescent="0.3">
      <c r="A123" s="81" t="s">
        <v>14</v>
      </c>
      <c r="B123" s="81" t="s">
        <v>0</v>
      </c>
      <c r="C123" s="91" t="s">
        <v>118</v>
      </c>
      <c r="D123" s="81" t="s">
        <v>119</v>
      </c>
      <c r="E123" s="82" t="s">
        <v>120</v>
      </c>
      <c r="F123" s="82" t="s">
        <v>121</v>
      </c>
      <c r="G123" s="91" t="s">
        <v>122</v>
      </c>
    </row>
    <row r="124" spans="1:7" ht="15.75" thickBot="1" x14ac:dyDescent="0.3">
      <c r="A124" s="92">
        <v>1</v>
      </c>
      <c r="B124" s="93" t="str">
        <f>B119</f>
        <v>Kareera, Mohindergarh</v>
      </c>
      <c r="C124" s="94"/>
      <c r="D124" s="95"/>
      <c r="E124" s="96"/>
      <c r="F124" s="96"/>
      <c r="G124" s="97" t="e">
        <f>F124/E124</f>
        <v>#DIV/0!</v>
      </c>
    </row>
  </sheetData>
  <mergeCells count="52">
    <mergeCell ref="E117:G117"/>
    <mergeCell ref="E121:G121"/>
    <mergeCell ref="E122:G122"/>
    <mergeCell ref="E102:G102"/>
    <mergeCell ref="E106:G106"/>
    <mergeCell ref="E107:G107"/>
    <mergeCell ref="E111:G111"/>
    <mergeCell ref="E112:G112"/>
    <mergeCell ref="E116:G116"/>
    <mergeCell ref="E101:G101"/>
    <mergeCell ref="E72:G72"/>
    <mergeCell ref="E76:G76"/>
    <mergeCell ref="E77:G77"/>
    <mergeCell ref="E81:G81"/>
    <mergeCell ref="E82:G82"/>
    <mergeCell ref="E86:G86"/>
    <mergeCell ref="E87:G87"/>
    <mergeCell ref="E91:G91"/>
    <mergeCell ref="E92:G92"/>
    <mergeCell ref="E96:G96"/>
    <mergeCell ref="E97:G97"/>
    <mergeCell ref="E71:G71"/>
    <mergeCell ref="E42:G42"/>
    <mergeCell ref="E46:G46"/>
    <mergeCell ref="E47:G47"/>
    <mergeCell ref="E51:G51"/>
    <mergeCell ref="E52:G52"/>
    <mergeCell ref="E56:G56"/>
    <mergeCell ref="E57:G57"/>
    <mergeCell ref="E61:G61"/>
    <mergeCell ref="E62:G62"/>
    <mergeCell ref="E66:G66"/>
    <mergeCell ref="E67:G67"/>
    <mergeCell ref="E41:G41"/>
    <mergeCell ref="E12:G12"/>
    <mergeCell ref="E16:G16"/>
    <mergeCell ref="E17:G17"/>
    <mergeCell ref="E21:G21"/>
    <mergeCell ref="E22:G22"/>
    <mergeCell ref="E26:G26"/>
    <mergeCell ref="E27:G27"/>
    <mergeCell ref="E31:G31"/>
    <mergeCell ref="E32:G32"/>
    <mergeCell ref="E36:G36"/>
    <mergeCell ref="E37:G37"/>
    <mergeCell ref="E11:G11"/>
    <mergeCell ref="F1:G1"/>
    <mergeCell ref="A4:G4"/>
    <mergeCell ref="E6:G6"/>
    <mergeCell ref="E7:G7"/>
    <mergeCell ref="A2:D2"/>
    <mergeCell ref="F2:G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G36"/>
  <sheetViews>
    <sheetView view="pageBreakPreview" topLeftCell="A5" zoomScaleSheetLayoutView="100" workbookViewId="0">
      <selection activeCell="B14" sqref="B14:B15"/>
    </sheetView>
  </sheetViews>
  <sheetFormatPr defaultColWidth="8.85546875" defaultRowHeight="15" x14ac:dyDescent="0.25"/>
  <cols>
    <col min="1" max="1" width="5.5703125" style="12" bestFit="1" customWidth="1"/>
    <col min="2" max="2" width="17.42578125" style="13" bestFit="1" customWidth="1"/>
    <col min="3" max="3" width="8.42578125" style="14" bestFit="1" customWidth="1"/>
    <col min="4" max="4" width="27.140625" style="15" customWidth="1"/>
    <col min="5" max="6" width="13" style="12" customWidth="1"/>
    <col min="7" max="7" width="13" style="14" customWidth="1"/>
    <col min="8" max="16384" width="8.85546875" style="16"/>
  </cols>
  <sheetData>
    <row r="1" spans="1:7" x14ac:dyDescent="0.25">
      <c r="F1" s="405" t="s">
        <v>41</v>
      </c>
      <c r="G1" s="405"/>
    </row>
    <row r="2" spans="1:7" ht="16.5" x14ac:dyDescent="0.25">
      <c r="A2" s="407" t="s">
        <v>233</v>
      </c>
      <c r="B2" s="407"/>
      <c r="C2" s="407"/>
      <c r="D2" s="407"/>
      <c r="E2" s="407"/>
      <c r="F2" s="407"/>
      <c r="G2" s="407"/>
    </row>
    <row r="3" spans="1:7" ht="3.6" customHeight="1" x14ac:dyDescent="0.25"/>
    <row r="4" spans="1:7" ht="16.5" x14ac:dyDescent="0.3">
      <c r="A4" s="406" t="s">
        <v>277</v>
      </c>
      <c r="B4" s="406"/>
      <c r="C4" s="406"/>
      <c r="D4" s="406"/>
      <c r="E4" s="406"/>
      <c r="F4" s="406"/>
      <c r="G4" s="406"/>
    </row>
    <row r="5" spans="1:7" ht="3.6" customHeight="1" x14ac:dyDescent="0.3">
      <c r="A5" s="17"/>
      <c r="B5" s="17"/>
      <c r="C5" s="17"/>
      <c r="D5" s="17"/>
      <c r="E5" s="17"/>
      <c r="F5" s="17"/>
      <c r="G5" s="17"/>
    </row>
    <row r="6" spans="1:7" ht="15.75" x14ac:dyDescent="0.3">
      <c r="A6" s="17"/>
      <c r="B6" s="17"/>
      <c r="C6" s="17"/>
      <c r="D6" s="17"/>
      <c r="E6" s="404" t="s">
        <v>13</v>
      </c>
      <c r="F6" s="404"/>
      <c r="G6" s="404"/>
    </row>
    <row r="7" spans="1:7" ht="3.6" customHeight="1" thickBot="1" x14ac:dyDescent="0.3">
      <c r="E7" s="405"/>
      <c r="F7" s="405"/>
      <c r="G7" s="405"/>
    </row>
    <row r="8" spans="1:7" s="1" customFormat="1" ht="43.5" thickBot="1" x14ac:dyDescent="0.3">
      <c r="A8" s="18" t="s">
        <v>14</v>
      </c>
      <c r="B8" s="18" t="s">
        <v>0</v>
      </c>
      <c r="C8" s="11" t="s">
        <v>15</v>
      </c>
      <c r="D8" s="18" t="s">
        <v>16</v>
      </c>
      <c r="E8" s="10" t="s">
        <v>1</v>
      </c>
      <c r="F8" s="10" t="s">
        <v>17</v>
      </c>
      <c r="G8" s="11" t="s">
        <v>18</v>
      </c>
    </row>
    <row r="9" spans="1:7" x14ac:dyDescent="0.25">
      <c r="A9" s="75">
        <v>1</v>
      </c>
      <c r="B9" s="73" t="str">
        <f>'Result Analysis X'!K1</f>
        <v>Mohindergarh</v>
      </c>
      <c r="C9" s="72" t="e">
        <f>'Result Analysis X'!M95</f>
        <v>#DIV/0!</v>
      </c>
      <c r="D9" s="19">
        <f>'Result Analysis X'!M108</f>
        <v>0</v>
      </c>
      <c r="E9" s="79">
        <f>'Result Analysis X'!M88</f>
        <v>0</v>
      </c>
      <c r="F9" s="74">
        <f>'Result Analysis X'!M86</f>
        <v>0</v>
      </c>
      <c r="G9" s="72" t="e">
        <f>F9/E9</f>
        <v>#DIV/0!</v>
      </c>
    </row>
    <row r="10" spans="1:7" x14ac:dyDescent="0.25">
      <c r="A10" s="21"/>
      <c r="B10" s="22"/>
      <c r="C10" s="23"/>
      <c r="D10" s="24"/>
      <c r="E10" s="25"/>
      <c r="F10" s="25"/>
      <c r="G10" s="26"/>
    </row>
    <row r="11" spans="1:7" ht="15.75" x14ac:dyDescent="0.3">
      <c r="A11" s="17"/>
      <c r="B11" s="17"/>
      <c r="C11" s="17"/>
      <c r="D11" s="17"/>
      <c r="E11" s="404" t="s">
        <v>19</v>
      </c>
      <c r="F11" s="404"/>
      <c r="G11" s="404"/>
    </row>
    <row r="12" spans="1:7" ht="3.6" customHeight="1" thickBot="1" x14ac:dyDescent="0.3">
      <c r="E12" s="405"/>
      <c r="F12" s="405"/>
      <c r="G12" s="405"/>
    </row>
    <row r="13" spans="1:7" ht="43.5" thickBot="1" x14ac:dyDescent="0.3">
      <c r="A13" s="18" t="s">
        <v>14</v>
      </c>
      <c r="B13" s="18" t="s">
        <v>0</v>
      </c>
      <c r="C13" s="11" t="s">
        <v>15</v>
      </c>
      <c r="D13" s="18" t="s">
        <v>16</v>
      </c>
      <c r="E13" s="10" t="s">
        <v>1</v>
      </c>
      <c r="F13" s="10" t="s">
        <v>17</v>
      </c>
      <c r="G13" s="11" t="s">
        <v>18</v>
      </c>
    </row>
    <row r="14" spans="1:7" x14ac:dyDescent="0.25">
      <c r="A14" s="409">
        <v>1</v>
      </c>
      <c r="B14" s="412" t="str">
        <f>B9</f>
        <v>Mohindergarh</v>
      </c>
      <c r="C14" s="415">
        <v>100</v>
      </c>
      <c r="D14" s="412" t="s">
        <v>96</v>
      </c>
      <c r="E14" s="418">
        <f>'Result Analysis X'!L88</f>
        <v>0</v>
      </c>
      <c r="F14" s="421">
        <f>'Result Analysis X'!L86</f>
        <v>0</v>
      </c>
      <c r="G14" s="415" t="e">
        <f>F14/E14</f>
        <v>#DIV/0!</v>
      </c>
    </row>
    <row r="15" spans="1:7" x14ac:dyDescent="0.25">
      <c r="A15" s="411"/>
      <c r="B15" s="414"/>
      <c r="C15" s="417"/>
      <c r="D15" s="422"/>
      <c r="E15" s="420"/>
      <c r="F15" s="420"/>
      <c r="G15" s="417"/>
    </row>
    <row r="16" spans="1:7" x14ac:dyDescent="0.25">
      <c r="A16" s="21"/>
      <c r="B16" s="22"/>
      <c r="C16" s="23"/>
      <c r="D16" s="24"/>
      <c r="E16" s="25"/>
      <c r="F16" s="25"/>
      <c r="G16" s="26"/>
    </row>
    <row r="17" spans="1:7" ht="15.75" x14ac:dyDescent="0.3">
      <c r="A17" s="17"/>
      <c r="B17" s="17"/>
      <c r="C17" s="17"/>
      <c r="D17" s="17"/>
      <c r="E17" s="404" t="s">
        <v>20</v>
      </c>
      <c r="F17" s="404"/>
      <c r="G17" s="404"/>
    </row>
    <row r="18" spans="1:7" ht="3.6" customHeight="1" thickBot="1" x14ac:dyDescent="0.3">
      <c r="E18" s="405"/>
      <c r="F18" s="405"/>
      <c r="G18" s="405"/>
    </row>
    <row r="19" spans="1:7" ht="43.5" thickBot="1" x14ac:dyDescent="0.3">
      <c r="A19" s="18" t="s">
        <v>14</v>
      </c>
      <c r="B19" s="18" t="s">
        <v>0</v>
      </c>
      <c r="C19" s="11" t="s">
        <v>15</v>
      </c>
      <c r="D19" s="18" t="s">
        <v>16</v>
      </c>
      <c r="E19" s="10" t="s">
        <v>1</v>
      </c>
      <c r="F19" s="10" t="s">
        <v>17</v>
      </c>
      <c r="G19" s="11" t="s">
        <v>18</v>
      </c>
    </row>
    <row r="20" spans="1:7" x14ac:dyDescent="0.25">
      <c r="A20" s="409">
        <v>1</v>
      </c>
      <c r="B20" s="412" t="str">
        <f>B14</f>
        <v>Mohindergarh</v>
      </c>
      <c r="C20" s="415">
        <v>100</v>
      </c>
      <c r="D20" s="19" t="s">
        <v>86</v>
      </c>
      <c r="E20" s="418">
        <f>'Result Analysis X'!N88</f>
        <v>0</v>
      </c>
      <c r="F20" s="421">
        <f>'Result Analysis X'!N86</f>
        <v>0</v>
      </c>
      <c r="G20" s="415" t="e">
        <f>F20/E20</f>
        <v>#DIV/0!</v>
      </c>
    </row>
    <row r="21" spans="1:7" x14ac:dyDescent="0.25">
      <c r="A21" s="411"/>
      <c r="B21" s="414"/>
      <c r="C21" s="417"/>
      <c r="D21" s="20" t="s">
        <v>87</v>
      </c>
      <c r="E21" s="420"/>
      <c r="F21" s="420"/>
      <c r="G21" s="417"/>
    </row>
    <row r="22" spans="1:7" x14ac:dyDescent="0.25">
      <c r="A22" s="21"/>
      <c r="B22" s="22"/>
      <c r="C22" s="23"/>
      <c r="D22" s="24"/>
      <c r="E22" s="25"/>
      <c r="F22" s="25"/>
      <c r="G22" s="26"/>
    </row>
    <row r="23" spans="1:7" ht="15.75" x14ac:dyDescent="0.3">
      <c r="A23" s="17"/>
      <c r="B23" s="17"/>
      <c r="C23" s="17"/>
      <c r="D23" s="17"/>
      <c r="E23" s="404" t="s">
        <v>21</v>
      </c>
      <c r="F23" s="404"/>
      <c r="G23" s="404"/>
    </row>
    <row r="24" spans="1:7" ht="3.6" customHeight="1" thickBot="1" x14ac:dyDescent="0.3">
      <c r="E24" s="405"/>
      <c r="F24" s="405"/>
      <c r="G24" s="405"/>
    </row>
    <row r="25" spans="1:7" ht="43.5" thickBot="1" x14ac:dyDescent="0.3">
      <c r="A25" s="18" t="s">
        <v>14</v>
      </c>
      <c r="B25" s="18" t="s">
        <v>0</v>
      </c>
      <c r="C25" s="11" t="s">
        <v>15</v>
      </c>
      <c r="D25" s="18" t="s">
        <v>16</v>
      </c>
      <c r="E25" s="10" t="s">
        <v>1</v>
      </c>
      <c r="F25" s="10" t="s">
        <v>17</v>
      </c>
      <c r="G25" s="11" t="s">
        <v>18</v>
      </c>
    </row>
    <row r="26" spans="1:7" x14ac:dyDescent="0.25">
      <c r="A26" s="409">
        <v>1</v>
      </c>
      <c r="B26" s="412" t="str">
        <f>B20</f>
        <v>Mohindergarh</v>
      </c>
      <c r="C26" s="415">
        <v>100</v>
      </c>
      <c r="D26" s="19" t="s">
        <v>192</v>
      </c>
      <c r="E26" s="418">
        <f>'Result Analysis X'!O88</f>
        <v>0</v>
      </c>
      <c r="F26" s="421" t="str">
        <f>'Result Analysis X'!O86</f>
        <v>TOTAL OBT. MARKS</v>
      </c>
      <c r="G26" s="415" t="e">
        <f>F26/E26</f>
        <v>#VALUE!</v>
      </c>
    </row>
    <row r="27" spans="1:7" x14ac:dyDescent="0.25">
      <c r="A27" s="410"/>
      <c r="B27" s="413"/>
      <c r="C27" s="416"/>
      <c r="D27" s="19" t="s">
        <v>196</v>
      </c>
      <c r="E27" s="419"/>
      <c r="F27" s="419"/>
      <c r="G27" s="416"/>
    </row>
    <row r="28" spans="1:7" x14ac:dyDescent="0.25">
      <c r="A28" s="411"/>
      <c r="B28" s="414"/>
      <c r="C28" s="417"/>
      <c r="D28" s="20" t="s">
        <v>193</v>
      </c>
      <c r="E28" s="420"/>
      <c r="F28" s="420"/>
      <c r="G28" s="417"/>
    </row>
    <row r="29" spans="1:7" x14ac:dyDescent="0.25">
      <c r="A29" s="21"/>
      <c r="B29" s="22"/>
      <c r="C29" s="23"/>
      <c r="D29" s="24"/>
      <c r="E29" s="25"/>
      <c r="F29" s="25"/>
      <c r="G29" s="26"/>
    </row>
    <row r="30" spans="1:7" ht="15.75" x14ac:dyDescent="0.3">
      <c r="A30" s="17"/>
      <c r="B30" s="17"/>
      <c r="C30" s="17"/>
      <c r="D30" s="17"/>
      <c r="E30" s="404" t="s">
        <v>22</v>
      </c>
      <c r="F30" s="404"/>
      <c r="G30" s="404"/>
    </row>
    <row r="31" spans="1:7" ht="3.6" customHeight="1" thickBot="1" x14ac:dyDescent="0.3">
      <c r="E31" s="405"/>
      <c r="F31" s="405"/>
      <c r="G31" s="405"/>
    </row>
    <row r="32" spans="1:7" ht="43.5" thickBot="1" x14ac:dyDescent="0.3">
      <c r="A32" s="18" t="s">
        <v>14</v>
      </c>
      <c r="B32" s="18" t="s">
        <v>0</v>
      </c>
      <c r="C32" s="11" t="s">
        <v>15</v>
      </c>
      <c r="D32" s="18" t="s">
        <v>16</v>
      </c>
      <c r="E32" s="10" t="s">
        <v>1</v>
      </c>
      <c r="F32" s="10" t="s">
        <v>17</v>
      </c>
      <c r="G32" s="11" t="s">
        <v>18</v>
      </c>
    </row>
    <row r="33" spans="1:7" x14ac:dyDescent="0.25">
      <c r="A33" s="409">
        <v>1</v>
      </c>
      <c r="B33" s="412" t="str">
        <f>B26</f>
        <v>Mohindergarh</v>
      </c>
      <c r="C33" s="415">
        <v>100</v>
      </c>
      <c r="D33" s="19" t="s">
        <v>197</v>
      </c>
      <c r="E33" s="418">
        <f>'Result Analysis X'!P88</f>
        <v>0</v>
      </c>
      <c r="F33" s="421">
        <f>'Result Analysis X'!P86</f>
        <v>0</v>
      </c>
      <c r="G33" s="415" t="e">
        <f>F33/E33</f>
        <v>#DIV/0!</v>
      </c>
    </row>
    <row r="34" spans="1:7" x14ac:dyDescent="0.25">
      <c r="A34" s="410"/>
      <c r="B34" s="413"/>
      <c r="C34" s="416"/>
      <c r="D34" s="19" t="s">
        <v>198</v>
      </c>
      <c r="E34" s="419"/>
      <c r="F34" s="419"/>
      <c r="G34" s="416"/>
    </row>
    <row r="35" spans="1:7" x14ac:dyDescent="0.25">
      <c r="A35" s="411"/>
      <c r="B35" s="414"/>
      <c r="C35" s="417"/>
      <c r="D35" s="20"/>
      <c r="E35" s="420"/>
      <c r="F35" s="420"/>
      <c r="G35" s="417"/>
    </row>
    <row r="36" spans="1:7" ht="15.75" x14ac:dyDescent="0.3">
      <c r="A36" s="27"/>
      <c r="D36" s="28"/>
      <c r="G36" s="29"/>
    </row>
  </sheetData>
  <mergeCells count="38">
    <mergeCell ref="F1:G1"/>
    <mergeCell ref="A2:G2"/>
    <mergeCell ref="A4:G4"/>
    <mergeCell ref="E6:G6"/>
    <mergeCell ref="E7:G7"/>
    <mergeCell ref="E17:G17"/>
    <mergeCell ref="E18:G18"/>
    <mergeCell ref="A20:A21"/>
    <mergeCell ref="B20:B21"/>
    <mergeCell ref="C20:C21"/>
    <mergeCell ref="E20:E21"/>
    <mergeCell ref="F20:F21"/>
    <mergeCell ref="G20:G21"/>
    <mergeCell ref="E11:G11"/>
    <mergeCell ref="E12:G12"/>
    <mergeCell ref="A14:A15"/>
    <mergeCell ref="B14:B15"/>
    <mergeCell ref="C14:C15"/>
    <mergeCell ref="E14:E15"/>
    <mergeCell ref="F14:F15"/>
    <mergeCell ref="G14:G15"/>
    <mergeCell ref="D14:D15"/>
    <mergeCell ref="E23:G23"/>
    <mergeCell ref="E24:G24"/>
    <mergeCell ref="A26:A28"/>
    <mergeCell ref="B26:B28"/>
    <mergeCell ref="C26:C28"/>
    <mergeCell ref="E26:E28"/>
    <mergeCell ref="F26:F28"/>
    <mergeCell ref="G26:G28"/>
    <mergeCell ref="E30:G30"/>
    <mergeCell ref="E31:G31"/>
    <mergeCell ref="A33:A35"/>
    <mergeCell ref="B33:B35"/>
    <mergeCell ref="C33:C35"/>
    <mergeCell ref="E33:E35"/>
    <mergeCell ref="F33:F35"/>
    <mergeCell ref="G33:G35"/>
  </mergeCells>
  <printOptions horizontalCentered="1"/>
  <pageMargins left="0.25" right="0.25" top="0.75" bottom="0.75" header="0.3" footer="0.3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M17"/>
  <sheetViews>
    <sheetView view="pageBreakPreview" zoomScaleSheetLayoutView="100" workbookViewId="0">
      <selection activeCell="Q10" sqref="Q10"/>
    </sheetView>
  </sheetViews>
  <sheetFormatPr defaultColWidth="8.85546875" defaultRowHeight="12" x14ac:dyDescent="0.2"/>
  <cols>
    <col min="1" max="1" width="5.5703125" style="30" bestFit="1" customWidth="1"/>
    <col min="2" max="2" width="17.85546875" style="31" bestFit="1" customWidth="1"/>
    <col min="3" max="13" width="6.7109375" style="30" customWidth="1"/>
    <col min="14" max="16384" width="8.85546875" style="31"/>
  </cols>
  <sheetData>
    <row r="1" spans="1:13" x14ac:dyDescent="0.2">
      <c r="L1" s="424" t="s">
        <v>39</v>
      </c>
      <c r="M1" s="424"/>
    </row>
    <row r="2" spans="1:13" ht="15.75" x14ac:dyDescent="0.25">
      <c r="A2" s="432" t="s">
        <v>23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</row>
    <row r="3" spans="1:13" ht="3.6" customHeight="1" x14ac:dyDescent="0.2"/>
    <row r="4" spans="1:13" ht="15.75" x14ac:dyDescent="0.25">
      <c r="A4" s="432" t="s">
        <v>276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</row>
    <row r="5" spans="1:13" ht="3.6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5" x14ac:dyDescent="0.25">
      <c r="A6" s="423" t="s">
        <v>24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</row>
    <row r="7" spans="1:13" ht="15.6" customHeight="1" thickBot="1" x14ac:dyDescent="0.25">
      <c r="A7" s="424"/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</row>
    <row r="8" spans="1:13" ht="15" thickBot="1" x14ac:dyDescent="0.25">
      <c r="A8" s="425" t="s">
        <v>14</v>
      </c>
      <c r="B8" s="425" t="s">
        <v>25</v>
      </c>
      <c r="C8" s="427" t="s">
        <v>26</v>
      </c>
      <c r="D8" s="428"/>
      <c r="E8" s="429"/>
      <c r="F8" s="427" t="s">
        <v>27</v>
      </c>
      <c r="G8" s="428"/>
      <c r="H8" s="429"/>
      <c r="I8" s="427" t="s">
        <v>28</v>
      </c>
      <c r="J8" s="428"/>
      <c r="K8" s="429"/>
      <c r="L8" s="430" t="s">
        <v>29</v>
      </c>
      <c r="M8" s="431"/>
    </row>
    <row r="9" spans="1:13" ht="49.5" thickBot="1" x14ac:dyDescent="0.25">
      <c r="A9" s="426"/>
      <c r="B9" s="426"/>
      <c r="C9" s="33" t="s">
        <v>30</v>
      </c>
      <c r="D9" s="33" t="s">
        <v>8</v>
      </c>
      <c r="E9" s="33" t="s">
        <v>31</v>
      </c>
      <c r="F9" s="33" t="s">
        <v>30</v>
      </c>
      <c r="G9" s="33" t="s">
        <v>8</v>
      </c>
      <c r="H9" s="33" t="s">
        <v>31</v>
      </c>
      <c r="I9" s="33" t="s">
        <v>30</v>
      </c>
      <c r="J9" s="33" t="s">
        <v>8</v>
      </c>
      <c r="K9" s="33" t="s">
        <v>31</v>
      </c>
      <c r="L9" s="33" t="s">
        <v>7</v>
      </c>
      <c r="M9" s="33" t="s">
        <v>8</v>
      </c>
    </row>
    <row r="10" spans="1:13" s="37" customFormat="1" ht="49.9" customHeight="1" thickBot="1" x14ac:dyDescent="0.3">
      <c r="A10" s="34">
        <v>1</v>
      </c>
      <c r="B10" s="70" t="str">
        <f>'Result Analysis X'!K1</f>
        <v>Mohindergarh</v>
      </c>
      <c r="C10" s="35">
        <f>COUNTIFS('Result Analysis X'!$J$6:$J$85,"SC",'Result Analysis X'!$S6:$S85,"&gt;0")</f>
        <v>0</v>
      </c>
      <c r="D10" s="35">
        <f>COUNTIFS('Result Analysis X'!$J$6:$J$85,"SC",'Result Analysis X'!$S6:$S85,"&gt;=33")</f>
        <v>0</v>
      </c>
      <c r="E10" s="35" t="e">
        <f>D10/C10*100</f>
        <v>#DIV/0!</v>
      </c>
      <c r="F10" s="35">
        <f>COUNTIFS('Result Analysis X'!$J$6:$J$85,"ST",'Result Analysis X'!$S6:$S85,"&gt;0")</f>
        <v>0</v>
      </c>
      <c r="G10" s="35">
        <f>COUNTIFS('Result Analysis X'!$J$6:$J$85,"ST",'Result Analysis X'!$S6:$S85,"&gt;=33")</f>
        <v>0</v>
      </c>
      <c r="H10" s="35" t="e">
        <f>G10/F10*100</f>
        <v>#DIV/0!</v>
      </c>
      <c r="I10" s="35">
        <f>COUNTIFS('Result Analysis X'!$J$6:$J$85,"GEN",'Result Analysis X'!$S6:$S85,"&gt;0")+COUNTIFS('Result Analysis X'!$J$6:$J$85,"OBC",'Result Analysis X'!$S6:$S85,"&gt;0")</f>
        <v>0</v>
      </c>
      <c r="J10" s="35">
        <f>COUNTIFS('Result Analysis X'!$J$6:$J$85,"GEN",'Result Analysis X'!$S6:$S85,"&gt;=33")+COUNTIFS('Result Analysis X'!$J$6:$J$85,"OBC",'Result Analysis X'!$S6:$S85,"&gt;=33")</f>
        <v>0</v>
      </c>
      <c r="K10" s="35" t="str">
        <f>IFERROR(J10/I10*100,"")</f>
        <v/>
      </c>
      <c r="L10" s="35">
        <f>C10+F10+I10</f>
        <v>0</v>
      </c>
      <c r="M10" s="36">
        <f>D10+G10+J10</f>
        <v>0</v>
      </c>
    </row>
    <row r="13" spans="1:13" ht="15" x14ac:dyDescent="0.25">
      <c r="A13" s="423" t="s">
        <v>189</v>
      </c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</row>
    <row r="14" spans="1:13" ht="12.75" thickBot="1" x14ac:dyDescent="0.25">
      <c r="A14" s="424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</row>
    <row r="15" spans="1:13" ht="15" thickBot="1" x14ac:dyDescent="0.25">
      <c r="A15" s="425" t="s">
        <v>14</v>
      </c>
      <c r="B15" s="425" t="s">
        <v>25</v>
      </c>
      <c r="C15" s="427" t="s">
        <v>26</v>
      </c>
      <c r="D15" s="428"/>
      <c r="E15" s="429"/>
      <c r="F15" s="427" t="s">
        <v>27</v>
      </c>
      <c r="G15" s="428"/>
      <c r="H15" s="429"/>
      <c r="I15" s="427" t="s">
        <v>28</v>
      </c>
      <c r="J15" s="428"/>
      <c r="K15" s="429"/>
      <c r="L15" s="430" t="s">
        <v>29</v>
      </c>
      <c r="M15" s="431"/>
    </row>
    <row r="16" spans="1:13" ht="49.5" thickBot="1" x14ac:dyDescent="0.25">
      <c r="A16" s="426"/>
      <c r="B16" s="426"/>
      <c r="C16" s="33" t="s">
        <v>30</v>
      </c>
      <c r="D16" s="33" t="s">
        <v>8</v>
      </c>
      <c r="E16" s="33" t="s">
        <v>31</v>
      </c>
      <c r="F16" s="33" t="s">
        <v>30</v>
      </c>
      <c r="G16" s="33" t="s">
        <v>8</v>
      </c>
      <c r="H16" s="33" t="s">
        <v>31</v>
      </c>
      <c r="I16" s="33" t="s">
        <v>30</v>
      </c>
      <c r="J16" s="33" t="s">
        <v>8</v>
      </c>
      <c r="K16" s="33" t="s">
        <v>31</v>
      </c>
      <c r="L16" s="33" t="s">
        <v>7</v>
      </c>
      <c r="M16" s="33" t="s">
        <v>8</v>
      </c>
    </row>
    <row r="17" spans="1:13" ht="12.75" thickBot="1" x14ac:dyDescent="0.25">
      <c r="A17" s="34">
        <v>1</v>
      </c>
      <c r="B17" s="70" t="str">
        <f>B10</f>
        <v>Mohindergarh</v>
      </c>
      <c r="C17" s="35">
        <f>COUNTIFS('Result Analysis XII'!$G$6:$G$84,"SC",'Result Analysis XII'!$Y6:$Y84,"&gt;0")</f>
        <v>0</v>
      </c>
      <c r="D17" s="35">
        <f>COUNTIFS('Result Analysis XII'!$G$6:$G$84,"SC",'Result Analysis XII'!$Y6:$Y84,"&gt;=33")</f>
        <v>0</v>
      </c>
      <c r="E17" s="182" t="e">
        <f>D17/C17*100</f>
        <v>#DIV/0!</v>
      </c>
      <c r="F17" s="35">
        <f>COUNTIFS('Result Analysis XII'!$G$6:$G$84,"ST",'Result Analysis XII'!$Y6:$Y84,"&gt;0")</f>
        <v>0</v>
      </c>
      <c r="G17" s="35">
        <f>COUNTIFS('Result Analysis XII'!$G$6:$G$84,"ST",'Result Analysis XII'!$Y6:$Y84,"&gt;=33")</f>
        <v>0</v>
      </c>
      <c r="H17" s="35" t="str">
        <f>IFERROR(G17/F17*100,"")</f>
        <v/>
      </c>
      <c r="I17" s="35">
        <f>COUNTIFS('Result Analysis XII'!$G$6:$G$84,"GEN",'Result Analysis XII'!$Y6:$Y84,"&gt;0")+COUNTIFS('Result Analysis XII'!$G$6:$G$84,"OBC",'Result Analysis XII'!$Y6:$Y84,"&gt;0")</f>
        <v>0</v>
      </c>
      <c r="J17" s="35">
        <f>COUNTIFS('Result Analysis XII'!$G$6:$G$84,"GEN",'Result Analysis XII'!$Y6:$Y84,"&gt;=33")+COUNTIFS('Result Analysis XII'!$G$6:$G$84,"OBC",'Result Analysis XII'!$Y6:$Y84,"&gt;=33")</f>
        <v>0</v>
      </c>
      <c r="K17" s="35" t="e">
        <f>J17/I17*100</f>
        <v>#DIV/0!</v>
      </c>
      <c r="L17" s="35">
        <f>C17+F17+I17</f>
        <v>0</v>
      </c>
      <c r="M17" s="36">
        <f>D17+G17+J17</f>
        <v>0</v>
      </c>
    </row>
  </sheetData>
  <sheetProtection algorithmName="SHA-512" hashValue="sIAVhtLIgNFC4IlNovo3Jkr82pB4+dwW0kRPjdVs7bi32PQotC/c64JfgXTHZxrCM3L+QtYBHKEZ20eDH1oxCA==" saltValue="Z3043RKslPfo29Tk92xKAw==" spinCount="100000" sheet="1" objects="1" scenarios="1"/>
  <mergeCells count="19">
    <mergeCell ref="F8:H8"/>
    <mergeCell ref="I8:K8"/>
    <mergeCell ref="L1:M1"/>
    <mergeCell ref="A2:M2"/>
    <mergeCell ref="A4:M4"/>
    <mergeCell ref="A6:M6"/>
    <mergeCell ref="A7:M7"/>
    <mergeCell ref="L8:M8"/>
    <mergeCell ref="A8:A9"/>
    <mergeCell ref="B8:B9"/>
    <mergeCell ref="C8:E8"/>
    <mergeCell ref="A13:M13"/>
    <mergeCell ref="A14:M14"/>
    <mergeCell ref="A15:A16"/>
    <mergeCell ref="B15:B16"/>
    <mergeCell ref="C15:E15"/>
    <mergeCell ref="F15:H15"/>
    <mergeCell ref="I15:K15"/>
    <mergeCell ref="L15:M15"/>
  </mergeCells>
  <printOptions horizontalCentered="1"/>
  <pageMargins left="0.5" right="0.5" top="0.75" bottom="0.75" header="0.16" footer="0.16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J18"/>
  <sheetViews>
    <sheetView view="pageBreakPreview" zoomScaleSheetLayoutView="100" workbookViewId="0">
      <selection activeCell="I18" sqref="I18"/>
    </sheetView>
  </sheetViews>
  <sheetFormatPr defaultRowHeight="15" x14ac:dyDescent="0.25"/>
  <cols>
    <col min="1" max="1" width="3.42578125" bestFit="1" customWidth="1"/>
    <col min="2" max="2" width="17.7109375" customWidth="1"/>
  </cols>
  <sheetData>
    <row r="1" spans="1:10" x14ac:dyDescent="0.25">
      <c r="I1" s="436" t="s">
        <v>40</v>
      </c>
      <c r="J1" s="436"/>
    </row>
    <row r="2" spans="1:10" ht="16.5" x14ac:dyDescent="0.3">
      <c r="A2" s="406" t="s">
        <v>275</v>
      </c>
      <c r="B2" s="406"/>
      <c r="C2" s="406"/>
      <c r="D2" s="406"/>
      <c r="E2" s="406"/>
      <c r="F2" s="406"/>
      <c r="G2" s="406"/>
      <c r="H2" s="406"/>
      <c r="I2" s="406"/>
      <c r="J2" s="406"/>
    </row>
    <row r="3" spans="1:10" ht="3.6" customHeight="1" x14ac:dyDescent="0.25"/>
    <row r="4" spans="1:10" ht="16.5" x14ac:dyDescent="0.3">
      <c r="A4" s="406" t="s">
        <v>274</v>
      </c>
      <c r="B4" s="406"/>
      <c r="C4" s="406"/>
      <c r="D4" s="406"/>
      <c r="E4" s="406"/>
      <c r="F4" s="406"/>
      <c r="G4" s="406"/>
      <c r="H4" s="406"/>
      <c r="I4" s="406"/>
      <c r="J4" s="406"/>
    </row>
    <row r="5" spans="1:10" ht="3.6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5">
      <c r="A6" s="433" t="s">
        <v>32</v>
      </c>
      <c r="B6" s="433"/>
      <c r="C6" s="433"/>
      <c r="D6" s="433"/>
      <c r="E6" s="433"/>
      <c r="F6" s="433"/>
      <c r="G6" s="433"/>
      <c r="H6" s="433"/>
      <c r="I6" s="433"/>
      <c r="J6" s="433"/>
    </row>
    <row r="7" spans="1:10" ht="3.6" customHeight="1" x14ac:dyDescent="0.3">
      <c r="A7" s="39"/>
      <c r="B7" s="17"/>
      <c r="C7" s="39"/>
      <c r="D7" s="39"/>
      <c r="E7" s="39"/>
      <c r="F7" s="39"/>
      <c r="G7" s="39"/>
      <c r="H7" s="39"/>
      <c r="I7" s="40"/>
      <c r="J7" s="40"/>
    </row>
    <row r="8" spans="1:10" ht="15" customHeight="1" thickBot="1" x14ac:dyDescent="0.35">
      <c r="A8" s="39"/>
      <c r="B8" s="17"/>
      <c r="C8" s="39"/>
      <c r="D8" s="39"/>
      <c r="E8" s="39"/>
      <c r="F8" s="39"/>
      <c r="G8" s="39"/>
      <c r="H8" s="39"/>
      <c r="I8" s="40"/>
      <c r="J8" s="40"/>
    </row>
    <row r="9" spans="1:10" ht="15.75" thickBot="1" x14ac:dyDescent="0.3">
      <c r="A9" s="434" t="s">
        <v>33</v>
      </c>
      <c r="B9" s="425" t="s">
        <v>34</v>
      </c>
      <c r="C9" s="427" t="s">
        <v>35</v>
      </c>
      <c r="D9" s="428"/>
      <c r="E9" s="429"/>
      <c r="F9" s="427" t="s">
        <v>36</v>
      </c>
      <c r="G9" s="428"/>
      <c r="H9" s="429"/>
      <c r="I9" s="427" t="s">
        <v>29</v>
      </c>
      <c r="J9" s="429"/>
    </row>
    <row r="10" spans="1:10" ht="15.75" thickBot="1" x14ac:dyDescent="0.3">
      <c r="A10" s="435"/>
      <c r="B10" s="435"/>
      <c r="C10" s="18" t="s">
        <v>30</v>
      </c>
      <c r="D10" s="18" t="s">
        <v>8</v>
      </c>
      <c r="E10" s="18" t="s">
        <v>37</v>
      </c>
      <c r="F10" s="18" t="s">
        <v>30</v>
      </c>
      <c r="G10" s="18" t="s">
        <v>8</v>
      </c>
      <c r="H10" s="18" t="s">
        <v>37</v>
      </c>
      <c r="I10" s="18" t="s">
        <v>7</v>
      </c>
      <c r="J10" s="18" t="s">
        <v>38</v>
      </c>
    </row>
    <row r="11" spans="1:10" s="2" customFormat="1" ht="49.9" customHeight="1" thickBot="1" x14ac:dyDescent="0.3">
      <c r="A11" s="41">
        <v>1</v>
      </c>
      <c r="B11" s="71" t="str">
        <f>'Result Analysis X'!K1</f>
        <v>Mohindergarh</v>
      </c>
      <c r="C11" s="35">
        <f>COUNTIFS('Result Analysis X'!$I6:$I85,"BOY",'Result Analysis X'!$S6:$S85,"&gt;0")</f>
        <v>0</v>
      </c>
      <c r="D11" s="35">
        <f>COUNTIFS('Result Analysis X'!$I6:$I85,"BOY",'Result Analysis X'!$S6:$S85,"&gt;=33")</f>
        <v>0</v>
      </c>
      <c r="E11" s="43" t="e">
        <f>D11/C11*100</f>
        <v>#DIV/0!</v>
      </c>
      <c r="F11" s="35">
        <f>COUNTIFS('Result Analysis X'!$I6:$I85,"girl",'Result Analysis X'!$S6:$S85,"&gt;0")</f>
        <v>0</v>
      </c>
      <c r="G11" s="35">
        <f>COUNTIFS('Result Analysis X'!$I6:$I85,"girl",'Result Analysis X'!$S6:$S85,"&gt;=33")</f>
        <v>0</v>
      </c>
      <c r="H11" s="43" t="e">
        <f>G11/F11*100</f>
        <v>#DIV/0!</v>
      </c>
      <c r="I11" s="42">
        <f>C11+F11</f>
        <v>0</v>
      </c>
      <c r="J11" s="44">
        <f>D11+G11</f>
        <v>0</v>
      </c>
    </row>
    <row r="14" spans="1:10" x14ac:dyDescent="0.25">
      <c r="A14" s="433" t="s">
        <v>188</v>
      </c>
      <c r="B14" s="433"/>
      <c r="C14" s="433"/>
      <c r="D14" s="433"/>
      <c r="E14" s="433"/>
      <c r="F14" s="433"/>
      <c r="G14" s="433"/>
      <c r="H14" s="433"/>
      <c r="I14" s="433"/>
      <c r="J14" s="433"/>
    </row>
    <row r="15" spans="1:10" ht="17.25" thickBot="1" x14ac:dyDescent="0.35">
      <c r="A15" s="39"/>
      <c r="B15" s="17"/>
      <c r="C15" s="39"/>
      <c r="D15" s="39"/>
      <c r="E15" s="39"/>
      <c r="F15" s="39"/>
      <c r="G15" s="39"/>
      <c r="H15" s="39"/>
      <c r="I15" s="40"/>
      <c r="J15" s="40"/>
    </row>
    <row r="16" spans="1:10" ht="15.75" thickBot="1" x14ac:dyDescent="0.3">
      <c r="A16" s="434" t="s">
        <v>33</v>
      </c>
      <c r="B16" s="425" t="s">
        <v>34</v>
      </c>
      <c r="C16" s="427" t="s">
        <v>35</v>
      </c>
      <c r="D16" s="428"/>
      <c r="E16" s="429"/>
      <c r="F16" s="427" t="s">
        <v>36</v>
      </c>
      <c r="G16" s="428"/>
      <c r="H16" s="429"/>
      <c r="I16" s="427" t="s">
        <v>29</v>
      </c>
      <c r="J16" s="429"/>
    </row>
    <row r="17" spans="1:10" ht="15.75" thickBot="1" x14ac:dyDescent="0.3">
      <c r="A17" s="435"/>
      <c r="B17" s="435"/>
      <c r="C17" s="18" t="s">
        <v>30</v>
      </c>
      <c r="D17" s="18" t="s">
        <v>8</v>
      </c>
      <c r="E17" s="18" t="s">
        <v>37</v>
      </c>
      <c r="F17" s="18" t="s">
        <v>30</v>
      </c>
      <c r="G17" s="18" t="s">
        <v>8</v>
      </c>
      <c r="H17" s="18" t="s">
        <v>37</v>
      </c>
      <c r="I17" s="18" t="s">
        <v>7</v>
      </c>
      <c r="J17" s="18" t="s">
        <v>38</v>
      </c>
    </row>
    <row r="18" spans="1:10" ht="15.75" thickBot="1" x14ac:dyDescent="0.3">
      <c r="A18" s="41">
        <v>1</v>
      </c>
      <c r="B18" s="71" t="str">
        <f>B11</f>
        <v>Mohindergarh</v>
      </c>
      <c r="C18" s="35">
        <f>COUNTIFS('Result Analysis XII'!$H$6:$H$84,"boy",'Result Analysis XII'!$Y6:$Y84,"&gt;0")</f>
        <v>0</v>
      </c>
      <c r="D18" s="35">
        <f>COUNTIFS('Result Analysis XII'!$H$6:$H$84,"boy",'Result Analysis XII'!$Y6:$Y84,"&gt;=33")</f>
        <v>0</v>
      </c>
      <c r="E18" s="43" t="e">
        <f>D18/C18*100</f>
        <v>#DIV/0!</v>
      </c>
      <c r="F18" s="35">
        <f>COUNTIFS('Result Analysis XII'!$H$6:$H$84,"GIRL",'Result Analysis XII'!$Y6:$Y84,"&gt;0")</f>
        <v>0</v>
      </c>
      <c r="G18" s="35">
        <f>COUNTIFS('Result Analysis XII'!$H$6:$H$84,"GIRL",'Result Analysis XII'!$Y6:$Y84,"&gt;=33")</f>
        <v>0</v>
      </c>
      <c r="H18" s="43" t="e">
        <f>G18/F18*100</f>
        <v>#DIV/0!</v>
      </c>
      <c r="I18" s="42">
        <f>C18+F18</f>
        <v>0</v>
      </c>
      <c r="J18" s="44">
        <f>D18+G18</f>
        <v>0</v>
      </c>
    </row>
  </sheetData>
  <mergeCells count="15">
    <mergeCell ref="I1:J1"/>
    <mergeCell ref="A2:J2"/>
    <mergeCell ref="A4:J4"/>
    <mergeCell ref="A6:J6"/>
    <mergeCell ref="A9:A10"/>
    <mergeCell ref="B9:B10"/>
    <mergeCell ref="C9:E9"/>
    <mergeCell ref="F9:H9"/>
    <mergeCell ref="I9:J9"/>
    <mergeCell ref="A14:J14"/>
    <mergeCell ref="A16:A17"/>
    <mergeCell ref="B16:B17"/>
    <mergeCell ref="C16:E16"/>
    <mergeCell ref="F16:H16"/>
    <mergeCell ref="I16:J16"/>
  </mergeCells>
  <printOptions horizontalCentered="1"/>
  <pageMargins left="0.5" right="0.5" top="0.75" bottom="0.75" header="0.16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63"/>
  <sheetViews>
    <sheetView topLeftCell="A49" workbookViewId="0">
      <selection activeCell="A2" sqref="A2:K2"/>
    </sheetView>
  </sheetViews>
  <sheetFormatPr defaultColWidth="8.85546875" defaultRowHeight="15" x14ac:dyDescent="0.3"/>
  <cols>
    <col min="1" max="1" width="6.28515625" style="5" bestFit="1" customWidth="1"/>
    <col min="2" max="2" width="15" style="5" bestFit="1" customWidth="1"/>
    <col min="3" max="3" width="19.5703125" style="5" bestFit="1" customWidth="1"/>
    <col min="4" max="4" width="9.7109375" style="5" bestFit="1" customWidth="1"/>
    <col min="5" max="7" width="6.7109375" style="5" bestFit="1" customWidth="1"/>
    <col min="8" max="8" width="11.28515625" style="5" bestFit="1" customWidth="1"/>
    <col min="9" max="9" width="8.28515625" style="5" bestFit="1" customWidth="1"/>
    <col min="10" max="10" width="7.85546875" style="5" customWidth="1"/>
    <col min="11" max="11" width="9.5703125" style="5" bestFit="1" customWidth="1"/>
    <col min="12" max="12" width="5.42578125" style="5" bestFit="1" customWidth="1"/>
    <col min="13" max="15" width="6.7109375" style="5" bestFit="1" customWidth="1"/>
    <col min="16" max="16" width="5.85546875" style="5" bestFit="1" customWidth="1"/>
    <col min="17" max="17" width="8" style="5" bestFit="1" customWidth="1"/>
    <col min="18" max="18" width="6.28515625" style="5" bestFit="1" customWidth="1"/>
    <col min="19" max="19" width="5.42578125" style="5" bestFit="1" customWidth="1"/>
    <col min="20" max="22" width="6.7109375" style="5" bestFit="1" customWidth="1"/>
    <col min="23" max="23" width="5.85546875" style="5" bestFit="1" customWidth="1"/>
    <col min="24" max="255" width="8.85546875" style="5"/>
    <col min="256" max="256" width="3" style="5" bestFit="1" customWidth="1"/>
    <col min="257" max="257" width="18.28515625" style="5" customWidth="1"/>
    <col min="258" max="266" width="9.28515625" style="5" customWidth="1"/>
    <col min="267" max="511" width="8.85546875" style="5"/>
    <col min="512" max="512" width="3" style="5" bestFit="1" customWidth="1"/>
    <col min="513" max="513" width="18.28515625" style="5" customWidth="1"/>
    <col min="514" max="522" width="9.28515625" style="5" customWidth="1"/>
    <col min="523" max="767" width="8.85546875" style="5"/>
    <col min="768" max="768" width="3" style="5" bestFit="1" customWidth="1"/>
    <col min="769" max="769" width="18.28515625" style="5" customWidth="1"/>
    <col min="770" max="778" width="9.28515625" style="5" customWidth="1"/>
    <col min="779" max="1023" width="8.85546875" style="5"/>
    <col min="1024" max="1024" width="3" style="5" bestFit="1" customWidth="1"/>
    <col min="1025" max="1025" width="18.28515625" style="5" customWidth="1"/>
    <col min="1026" max="1034" width="9.28515625" style="5" customWidth="1"/>
    <col min="1035" max="1279" width="8.85546875" style="5"/>
    <col min="1280" max="1280" width="3" style="5" bestFit="1" customWidth="1"/>
    <col min="1281" max="1281" width="18.28515625" style="5" customWidth="1"/>
    <col min="1282" max="1290" width="9.28515625" style="5" customWidth="1"/>
    <col min="1291" max="1535" width="8.85546875" style="5"/>
    <col min="1536" max="1536" width="3" style="5" bestFit="1" customWidth="1"/>
    <col min="1537" max="1537" width="18.28515625" style="5" customWidth="1"/>
    <col min="1538" max="1546" width="9.28515625" style="5" customWidth="1"/>
    <col min="1547" max="1791" width="8.85546875" style="5"/>
    <col min="1792" max="1792" width="3" style="5" bestFit="1" customWidth="1"/>
    <col min="1793" max="1793" width="18.28515625" style="5" customWidth="1"/>
    <col min="1794" max="1802" width="9.28515625" style="5" customWidth="1"/>
    <col min="1803" max="2047" width="8.85546875" style="5"/>
    <col min="2048" max="2048" width="3" style="5" bestFit="1" customWidth="1"/>
    <col min="2049" max="2049" width="18.28515625" style="5" customWidth="1"/>
    <col min="2050" max="2058" width="9.28515625" style="5" customWidth="1"/>
    <col min="2059" max="2303" width="8.85546875" style="5"/>
    <col min="2304" max="2304" width="3" style="5" bestFit="1" customWidth="1"/>
    <col min="2305" max="2305" width="18.28515625" style="5" customWidth="1"/>
    <col min="2306" max="2314" width="9.28515625" style="5" customWidth="1"/>
    <col min="2315" max="2559" width="8.85546875" style="5"/>
    <col min="2560" max="2560" width="3" style="5" bestFit="1" customWidth="1"/>
    <col min="2561" max="2561" width="18.28515625" style="5" customWidth="1"/>
    <col min="2562" max="2570" width="9.28515625" style="5" customWidth="1"/>
    <col min="2571" max="2815" width="8.85546875" style="5"/>
    <col min="2816" max="2816" width="3" style="5" bestFit="1" customWidth="1"/>
    <col min="2817" max="2817" width="18.28515625" style="5" customWidth="1"/>
    <col min="2818" max="2826" width="9.28515625" style="5" customWidth="1"/>
    <col min="2827" max="3071" width="8.85546875" style="5"/>
    <col min="3072" max="3072" width="3" style="5" bestFit="1" customWidth="1"/>
    <col min="3073" max="3073" width="18.28515625" style="5" customWidth="1"/>
    <col min="3074" max="3082" width="9.28515625" style="5" customWidth="1"/>
    <col min="3083" max="3327" width="8.85546875" style="5"/>
    <col min="3328" max="3328" width="3" style="5" bestFit="1" customWidth="1"/>
    <col min="3329" max="3329" width="18.28515625" style="5" customWidth="1"/>
    <col min="3330" max="3338" width="9.28515625" style="5" customWidth="1"/>
    <col min="3339" max="3583" width="8.85546875" style="5"/>
    <col min="3584" max="3584" width="3" style="5" bestFit="1" customWidth="1"/>
    <col min="3585" max="3585" width="18.28515625" style="5" customWidth="1"/>
    <col min="3586" max="3594" width="9.28515625" style="5" customWidth="1"/>
    <col min="3595" max="3839" width="8.85546875" style="5"/>
    <col min="3840" max="3840" width="3" style="5" bestFit="1" customWidth="1"/>
    <col min="3841" max="3841" width="18.28515625" style="5" customWidth="1"/>
    <col min="3842" max="3850" width="9.28515625" style="5" customWidth="1"/>
    <col min="3851" max="4095" width="8.85546875" style="5"/>
    <col min="4096" max="4096" width="3" style="5" bestFit="1" customWidth="1"/>
    <col min="4097" max="4097" width="18.28515625" style="5" customWidth="1"/>
    <col min="4098" max="4106" width="9.28515625" style="5" customWidth="1"/>
    <col min="4107" max="4351" width="8.85546875" style="5"/>
    <col min="4352" max="4352" width="3" style="5" bestFit="1" customWidth="1"/>
    <col min="4353" max="4353" width="18.28515625" style="5" customWidth="1"/>
    <col min="4354" max="4362" width="9.28515625" style="5" customWidth="1"/>
    <col min="4363" max="4607" width="8.85546875" style="5"/>
    <col min="4608" max="4608" width="3" style="5" bestFit="1" customWidth="1"/>
    <col min="4609" max="4609" width="18.28515625" style="5" customWidth="1"/>
    <col min="4610" max="4618" width="9.28515625" style="5" customWidth="1"/>
    <col min="4619" max="4863" width="8.85546875" style="5"/>
    <col min="4864" max="4864" width="3" style="5" bestFit="1" customWidth="1"/>
    <col min="4865" max="4865" width="18.28515625" style="5" customWidth="1"/>
    <col min="4866" max="4874" width="9.28515625" style="5" customWidth="1"/>
    <col min="4875" max="5119" width="8.85546875" style="5"/>
    <col min="5120" max="5120" width="3" style="5" bestFit="1" customWidth="1"/>
    <col min="5121" max="5121" width="18.28515625" style="5" customWidth="1"/>
    <col min="5122" max="5130" width="9.28515625" style="5" customWidth="1"/>
    <col min="5131" max="5375" width="8.85546875" style="5"/>
    <col min="5376" max="5376" width="3" style="5" bestFit="1" customWidth="1"/>
    <col min="5377" max="5377" width="18.28515625" style="5" customWidth="1"/>
    <col min="5378" max="5386" width="9.28515625" style="5" customWidth="1"/>
    <col min="5387" max="5631" width="8.85546875" style="5"/>
    <col min="5632" max="5632" width="3" style="5" bestFit="1" customWidth="1"/>
    <col min="5633" max="5633" width="18.28515625" style="5" customWidth="1"/>
    <col min="5634" max="5642" width="9.28515625" style="5" customWidth="1"/>
    <col min="5643" max="5887" width="8.85546875" style="5"/>
    <col min="5888" max="5888" width="3" style="5" bestFit="1" customWidth="1"/>
    <col min="5889" max="5889" width="18.28515625" style="5" customWidth="1"/>
    <col min="5890" max="5898" width="9.28515625" style="5" customWidth="1"/>
    <col min="5899" max="6143" width="8.85546875" style="5"/>
    <col min="6144" max="6144" width="3" style="5" bestFit="1" customWidth="1"/>
    <col min="6145" max="6145" width="18.28515625" style="5" customWidth="1"/>
    <col min="6146" max="6154" width="9.28515625" style="5" customWidth="1"/>
    <col min="6155" max="6399" width="8.85546875" style="5"/>
    <col min="6400" max="6400" width="3" style="5" bestFit="1" customWidth="1"/>
    <col min="6401" max="6401" width="18.28515625" style="5" customWidth="1"/>
    <col min="6402" max="6410" width="9.28515625" style="5" customWidth="1"/>
    <col min="6411" max="6655" width="8.85546875" style="5"/>
    <col min="6656" max="6656" width="3" style="5" bestFit="1" customWidth="1"/>
    <col min="6657" max="6657" width="18.28515625" style="5" customWidth="1"/>
    <col min="6658" max="6666" width="9.28515625" style="5" customWidth="1"/>
    <col min="6667" max="6911" width="8.85546875" style="5"/>
    <col min="6912" max="6912" width="3" style="5" bestFit="1" customWidth="1"/>
    <col min="6913" max="6913" width="18.28515625" style="5" customWidth="1"/>
    <col min="6914" max="6922" width="9.28515625" style="5" customWidth="1"/>
    <col min="6923" max="7167" width="8.85546875" style="5"/>
    <col min="7168" max="7168" width="3" style="5" bestFit="1" customWidth="1"/>
    <col min="7169" max="7169" width="18.28515625" style="5" customWidth="1"/>
    <col min="7170" max="7178" width="9.28515625" style="5" customWidth="1"/>
    <col min="7179" max="7423" width="8.85546875" style="5"/>
    <col min="7424" max="7424" width="3" style="5" bestFit="1" customWidth="1"/>
    <col min="7425" max="7425" width="18.28515625" style="5" customWidth="1"/>
    <col min="7426" max="7434" width="9.28515625" style="5" customWidth="1"/>
    <col min="7435" max="7679" width="8.85546875" style="5"/>
    <col min="7680" max="7680" width="3" style="5" bestFit="1" customWidth="1"/>
    <col min="7681" max="7681" width="18.28515625" style="5" customWidth="1"/>
    <col min="7682" max="7690" width="9.28515625" style="5" customWidth="1"/>
    <col min="7691" max="7935" width="8.85546875" style="5"/>
    <col min="7936" max="7936" width="3" style="5" bestFit="1" customWidth="1"/>
    <col min="7937" max="7937" width="18.28515625" style="5" customWidth="1"/>
    <col min="7938" max="7946" width="9.28515625" style="5" customWidth="1"/>
    <col min="7947" max="8191" width="8.85546875" style="5"/>
    <col min="8192" max="8192" width="3" style="5" bestFit="1" customWidth="1"/>
    <col min="8193" max="8193" width="18.28515625" style="5" customWidth="1"/>
    <col min="8194" max="8202" width="9.28515625" style="5" customWidth="1"/>
    <col min="8203" max="8447" width="8.85546875" style="5"/>
    <col min="8448" max="8448" width="3" style="5" bestFit="1" customWidth="1"/>
    <col min="8449" max="8449" width="18.28515625" style="5" customWidth="1"/>
    <col min="8450" max="8458" width="9.28515625" style="5" customWidth="1"/>
    <col min="8459" max="8703" width="8.85546875" style="5"/>
    <col min="8704" max="8704" width="3" style="5" bestFit="1" customWidth="1"/>
    <col min="8705" max="8705" width="18.28515625" style="5" customWidth="1"/>
    <col min="8706" max="8714" width="9.28515625" style="5" customWidth="1"/>
    <col min="8715" max="8959" width="8.85546875" style="5"/>
    <col min="8960" max="8960" width="3" style="5" bestFit="1" customWidth="1"/>
    <col min="8961" max="8961" width="18.28515625" style="5" customWidth="1"/>
    <col min="8962" max="8970" width="9.28515625" style="5" customWidth="1"/>
    <col min="8971" max="9215" width="8.85546875" style="5"/>
    <col min="9216" max="9216" width="3" style="5" bestFit="1" customWidth="1"/>
    <col min="9217" max="9217" width="18.28515625" style="5" customWidth="1"/>
    <col min="9218" max="9226" width="9.28515625" style="5" customWidth="1"/>
    <col min="9227" max="9471" width="8.85546875" style="5"/>
    <col min="9472" max="9472" width="3" style="5" bestFit="1" customWidth="1"/>
    <col min="9473" max="9473" width="18.28515625" style="5" customWidth="1"/>
    <col min="9474" max="9482" width="9.28515625" style="5" customWidth="1"/>
    <col min="9483" max="9727" width="8.85546875" style="5"/>
    <col min="9728" max="9728" width="3" style="5" bestFit="1" customWidth="1"/>
    <col min="9729" max="9729" width="18.28515625" style="5" customWidth="1"/>
    <col min="9730" max="9738" width="9.28515625" style="5" customWidth="1"/>
    <col min="9739" max="9983" width="8.85546875" style="5"/>
    <col min="9984" max="9984" width="3" style="5" bestFit="1" customWidth="1"/>
    <col min="9985" max="9985" width="18.28515625" style="5" customWidth="1"/>
    <col min="9986" max="9994" width="9.28515625" style="5" customWidth="1"/>
    <col min="9995" max="10239" width="8.85546875" style="5"/>
    <col min="10240" max="10240" width="3" style="5" bestFit="1" customWidth="1"/>
    <col min="10241" max="10241" width="18.28515625" style="5" customWidth="1"/>
    <col min="10242" max="10250" width="9.28515625" style="5" customWidth="1"/>
    <col min="10251" max="10495" width="8.85546875" style="5"/>
    <col min="10496" max="10496" width="3" style="5" bestFit="1" customWidth="1"/>
    <col min="10497" max="10497" width="18.28515625" style="5" customWidth="1"/>
    <col min="10498" max="10506" width="9.28515625" style="5" customWidth="1"/>
    <col min="10507" max="10751" width="8.85546875" style="5"/>
    <col min="10752" max="10752" width="3" style="5" bestFit="1" customWidth="1"/>
    <col min="10753" max="10753" width="18.28515625" style="5" customWidth="1"/>
    <col min="10754" max="10762" width="9.28515625" style="5" customWidth="1"/>
    <col min="10763" max="11007" width="8.85546875" style="5"/>
    <col min="11008" max="11008" width="3" style="5" bestFit="1" customWidth="1"/>
    <col min="11009" max="11009" width="18.28515625" style="5" customWidth="1"/>
    <col min="11010" max="11018" width="9.28515625" style="5" customWidth="1"/>
    <col min="11019" max="11263" width="8.85546875" style="5"/>
    <col min="11264" max="11264" width="3" style="5" bestFit="1" customWidth="1"/>
    <col min="11265" max="11265" width="18.28515625" style="5" customWidth="1"/>
    <col min="11266" max="11274" width="9.28515625" style="5" customWidth="1"/>
    <col min="11275" max="11519" width="8.85546875" style="5"/>
    <col min="11520" max="11520" width="3" style="5" bestFit="1" customWidth="1"/>
    <col min="11521" max="11521" width="18.28515625" style="5" customWidth="1"/>
    <col min="11522" max="11530" width="9.28515625" style="5" customWidth="1"/>
    <col min="11531" max="11775" width="8.85546875" style="5"/>
    <col min="11776" max="11776" width="3" style="5" bestFit="1" customWidth="1"/>
    <col min="11777" max="11777" width="18.28515625" style="5" customWidth="1"/>
    <col min="11778" max="11786" width="9.28515625" style="5" customWidth="1"/>
    <col min="11787" max="12031" width="8.85546875" style="5"/>
    <col min="12032" max="12032" width="3" style="5" bestFit="1" customWidth="1"/>
    <col min="12033" max="12033" width="18.28515625" style="5" customWidth="1"/>
    <col min="12034" max="12042" width="9.28515625" style="5" customWidth="1"/>
    <col min="12043" max="12287" width="8.85546875" style="5"/>
    <col min="12288" max="12288" width="3" style="5" bestFit="1" customWidth="1"/>
    <col min="12289" max="12289" width="18.28515625" style="5" customWidth="1"/>
    <col min="12290" max="12298" width="9.28515625" style="5" customWidth="1"/>
    <col min="12299" max="12543" width="8.85546875" style="5"/>
    <col min="12544" max="12544" width="3" style="5" bestFit="1" customWidth="1"/>
    <col min="12545" max="12545" width="18.28515625" style="5" customWidth="1"/>
    <col min="12546" max="12554" width="9.28515625" style="5" customWidth="1"/>
    <col min="12555" max="12799" width="8.85546875" style="5"/>
    <col min="12800" max="12800" width="3" style="5" bestFit="1" customWidth="1"/>
    <col min="12801" max="12801" width="18.28515625" style="5" customWidth="1"/>
    <col min="12802" max="12810" width="9.28515625" style="5" customWidth="1"/>
    <col min="12811" max="13055" width="8.85546875" style="5"/>
    <col min="13056" max="13056" width="3" style="5" bestFit="1" customWidth="1"/>
    <col min="13057" max="13057" width="18.28515625" style="5" customWidth="1"/>
    <col min="13058" max="13066" width="9.28515625" style="5" customWidth="1"/>
    <col min="13067" max="13311" width="8.85546875" style="5"/>
    <col min="13312" max="13312" width="3" style="5" bestFit="1" customWidth="1"/>
    <col min="13313" max="13313" width="18.28515625" style="5" customWidth="1"/>
    <col min="13314" max="13322" width="9.28515625" style="5" customWidth="1"/>
    <col min="13323" max="13567" width="8.85546875" style="5"/>
    <col min="13568" max="13568" width="3" style="5" bestFit="1" customWidth="1"/>
    <col min="13569" max="13569" width="18.28515625" style="5" customWidth="1"/>
    <col min="13570" max="13578" width="9.28515625" style="5" customWidth="1"/>
    <col min="13579" max="13823" width="8.85546875" style="5"/>
    <col min="13824" max="13824" width="3" style="5" bestFit="1" customWidth="1"/>
    <col min="13825" max="13825" width="18.28515625" style="5" customWidth="1"/>
    <col min="13826" max="13834" width="9.28515625" style="5" customWidth="1"/>
    <col min="13835" max="14079" width="8.85546875" style="5"/>
    <col min="14080" max="14080" width="3" style="5" bestFit="1" customWidth="1"/>
    <col min="14081" max="14081" width="18.28515625" style="5" customWidth="1"/>
    <col min="14082" max="14090" width="9.28515625" style="5" customWidth="1"/>
    <col min="14091" max="14335" width="8.85546875" style="5"/>
    <col min="14336" max="14336" width="3" style="5" bestFit="1" customWidth="1"/>
    <col min="14337" max="14337" width="18.28515625" style="5" customWidth="1"/>
    <col min="14338" max="14346" width="9.28515625" style="5" customWidth="1"/>
    <col min="14347" max="14591" width="8.85546875" style="5"/>
    <col min="14592" max="14592" width="3" style="5" bestFit="1" customWidth="1"/>
    <col min="14593" max="14593" width="18.28515625" style="5" customWidth="1"/>
    <col min="14594" max="14602" width="9.28515625" style="5" customWidth="1"/>
    <col min="14603" max="14847" width="8.85546875" style="5"/>
    <col min="14848" max="14848" width="3" style="5" bestFit="1" customWidth="1"/>
    <col min="14849" max="14849" width="18.28515625" style="5" customWidth="1"/>
    <col min="14850" max="14858" width="9.28515625" style="5" customWidth="1"/>
    <col min="14859" max="15103" width="8.85546875" style="5"/>
    <col min="15104" max="15104" width="3" style="5" bestFit="1" customWidth="1"/>
    <col min="15105" max="15105" width="18.28515625" style="5" customWidth="1"/>
    <col min="15106" max="15114" width="9.28515625" style="5" customWidth="1"/>
    <col min="15115" max="15359" width="8.85546875" style="5"/>
    <col min="15360" max="15360" width="3" style="5" bestFit="1" customWidth="1"/>
    <col min="15361" max="15361" width="18.28515625" style="5" customWidth="1"/>
    <col min="15362" max="15370" width="9.28515625" style="5" customWidth="1"/>
    <col min="15371" max="15615" width="8.85546875" style="5"/>
    <col min="15616" max="15616" width="3" style="5" bestFit="1" customWidth="1"/>
    <col min="15617" max="15617" width="18.28515625" style="5" customWidth="1"/>
    <col min="15618" max="15626" width="9.28515625" style="5" customWidth="1"/>
    <col min="15627" max="15871" width="8.85546875" style="5"/>
    <col min="15872" max="15872" width="3" style="5" bestFit="1" customWidth="1"/>
    <col min="15873" max="15873" width="18.28515625" style="5" customWidth="1"/>
    <col min="15874" max="15882" width="9.28515625" style="5" customWidth="1"/>
    <col min="15883" max="16127" width="8.85546875" style="5"/>
    <col min="16128" max="16128" width="3" style="5" bestFit="1" customWidth="1"/>
    <col min="16129" max="16129" width="18.28515625" style="5" customWidth="1"/>
    <col min="16130" max="16138" width="9.28515625" style="5" customWidth="1"/>
    <col min="16139" max="16384" width="8.85546875" style="5"/>
  </cols>
  <sheetData>
    <row r="1" spans="1:11" x14ac:dyDescent="0.3">
      <c r="A1" s="164"/>
      <c r="B1" s="164"/>
      <c r="C1" s="164"/>
      <c r="D1" s="164"/>
      <c r="E1" s="164"/>
      <c r="F1" s="164"/>
      <c r="G1" s="164"/>
      <c r="H1" s="164"/>
      <c r="I1" s="164"/>
      <c r="J1" s="299" t="s">
        <v>97</v>
      </c>
      <c r="K1" s="299"/>
    </row>
    <row r="2" spans="1:11" s="9" customFormat="1" ht="20.25" x14ac:dyDescent="0.3">
      <c r="A2" s="300" t="s">
        <v>221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s="9" customFormat="1" ht="12.75" x14ac:dyDescent="0.2"/>
    <row r="4" spans="1:11" s="9" customFormat="1" ht="18" x14ac:dyDescent="0.25">
      <c r="A4" s="301" t="s">
        <v>211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</row>
    <row r="5" spans="1:11" s="9" customFormat="1" ht="13.5" thickBot="1" x14ac:dyDescent="0.25"/>
    <row r="6" spans="1:11" s="6" customFormat="1" ht="34.5" thickBot="1" x14ac:dyDescent="0.3">
      <c r="A6" s="7" t="s">
        <v>98</v>
      </c>
      <c r="B6" s="7" t="s">
        <v>0</v>
      </c>
      <c r="C6" s="7" t="s">
        <v>6</v>
      </c>
      <c r="D6" s="7" t="s">
        <v>7</v>
      </c>
      <c r="E6" s="7" t="s">
        <v>8</v>
      </c>
      <c r="F6" s="7" t="s">
        <v>99</v>
      </c>
      <c r="G6" s="7" t="s">
        <v>100</v>
      </c>
      <c r="H6" s="7" t="s">
        <v>9</v>
      </c>
      <c r="I6" s="8" t="s">
        <v>213</v>
      </c>
      <c r="J6" s="8" t="s">
        <v>212</v>
      </c>
      <c r="K6" s="7" t="s">
        <v>101</v>
      </c>
    </row>
    <row r="7" spans="1:11" s="6" customFormat="1" ht="13.5" thickBot="1" x14ac:dyDescent="0.3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</row>
    <row r="8" spans="1:11" ht="40.5" thickBot="1" x14ac:dyDescent="0.35">
      <c r="A8" s="77">
        <v>1</v>
      </c>
      <c r="B8" s="165" t="str">
        <f>'Result Analysis XII'!L1</f>
        <v>Kareera, Mohindergarh</v>
      </c>
      <c r="C8" s="64">
        <f>'Result Analysis XII'!E85</f>
        <v>0</v>
      </c>
      <c r="D8" s="64">
        <f>'Result Analysis XII'!Y87</f>
        <v>0</v>
      </c>
      <c r="E8" s="167"/>
      <c r="F8" s="167"/>
      <c r="G8" s="167"/>
      <c r="H8" s="167"/>
      <c r="I8" s="76" t="e">
        <f>E8/D8*100</f>
        <v>#DIV/0!</v>
      </c>
      <c r="J8" s="168"/>
      <c r="K8" s="127" t="e">
        <f>I8-J8</f>
        <v>#DIV/0!</v>
      </c>
    </row>
    <row r="11" spans="1:11" x14ac:dyDescent="0.3">
      <c r="A11" s="302" t="s">
        <v>220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</row>
    <row r="15" spans="1:11" x14ac:dyDescent="0.3">
      <c r="A15" s="169"/>
      <c r="B15" s="169"/>
      <c r="C15" s="169"/>
      <c r="D15" s="169"/>
      <c r="E15" s="169"/>
      <c r="F15" s="169"/>
      <c r="G15" s="303" t="s">
        <v>102</v>
      </c>
      <c r="H15" s="303"/>
    </row>
    <row r="16" spans="1:11" ht="15.75" x14ac:dyDescent="0.3">
      <c r="A16" s="295" t="s">
        <v>221</v>
      </c>
      <c r="B16" s="295"/>
      <c r="C16" s="295"/>
      <c r="D16" s="295"/>
      <c r="E16" s="295"/>
      <c r="F16" s="295"/>
      <c r="G16" s="295"/>
      <c r="H16" s="295"/>
    </row>
    <row r="17" spans="1:23" x14ac:dyDescent="0.3">
      <c r="A17" s="3"/>
      <c r="B17" s="3"/>
      <c r="C17" s="3"/>
      <c r="D17" s="3"/>
      <c r="E17" s="3"/>
      <c r="F17" s="3"/>
      <c r="G17" s="3"/>
      <c r="H17" s="3"/>
    </row>
    <row r="18" spans="1:23" ht="18" x14ac:dyDescent="0.3">
      <c r="A18" s="291" t="s">
        <v>204</v>
      </c>
      <c r="B18" s="291"/>
      <c r="C18" s="291"/>
      <c r="D18" s="291"/>
      <c r="E18" s="291"/>
      <c r="F18" s="291"/>
      <c r="G18" s="291"/>
      <c r="H18" s="291"/>
    </row>
    <row r="19" spans="1:23" ht="15.75" thickBot="1" x14ac:dyDescent="0.35">
      <c r="A19" s="3"/>
      <c r="B19" s="3"/>
      <c r="C19" s="3"/>
      <c r="D19" s="3"/>
      <c r="E19" s="3"/>
      <c r="F19" s="3"/>
      <c r="G19" s="3"/>
      <c r="H19" s="3"/>
    </row>
    <row r="20" spans="1:23" ht="16.5" thickBot="1" x14ac:dyDescent="0.35">
      <c r="A20" s="293" t="s">
        <v>2</v>
      </c>
      <c r="B20" s="294" t="s">
        <v>0</v>
      </c>
      <c r="C20" s="296" t="s">
        <v>103</v>
      </c>
      <c r="D20" s="298" t="s">
        <v>104</v>
      </c>
      <c r="E20" s="298"/>
      <c r="F20" s="298"/>
      <c r="G20" s="298"/>
      <c r="H20" s="298"/>
    </row>
    <row r="21" spans="1:23" ht="15.75" thickBot="1" x14ac:dyDescent="0.35">
      <c r="A21" s="294"/>
      <c r="B21" s="294"/>
      <c r="C21" s="297"/>
      <c r="D21" s="45" t="s">
        <v>105</v>
      </c>
      <c r="E21" s="45" t="s">
        <v>106</v>
      </c>
      <c r="F21" s="45" t="s">
        <v>107</v>
      </c>
      <c r="G21" s="45" t="s">
        <v>108</v>
      </c>
      <c r="H21" s="45" t="s">
        <v>109</v>
      </c>
    </row>
    <row r="22" spans="1:23" ht="15.75" thickBot="1" x14ac:dyDescent="0.35">
      <c r="A22" s="170">
        <v>1</v>
      </c>
      <c r="B22" s="170">
        <v>2</v>
      </c>
      <c r="C22" s="171">
        <v>3</v>
      </c>
      <c r="D22" s="170">
        <v>4</v>
      </c>
      <c r="E22" s="170">
        <v>5</v>
      </c>
      <c r="F22" s="170">
        <v>6</v>
      </c>
      <c r="G22" s="170">
        <v>7</v>
      </c>
      <c r="H22" s="170">
        <v>8</v>
      </c>
    </row>
    <row r="23" spans="1:23" ht="30.75" thickBot="1" x14ac:dyDescent="0.35">
      <c r="A23" s="77">
        <v>1</v>
      </c>
      <c r="B23" s="84" t="str">
        <f>B8</f>
        <v>Kareera, Mohindergarh</v>
      </c>
      <c r="C23" s="64">
        <f>D8</f>
        <v>0</v>
      </c>
      <c r="D23" s="105">
        <f>'Result Analysis XII'!X100</f>
        <v>0</v>
      </c>
      <c r="E23" s="105">
        <f>'Result Analysis XII'!X99</f>
        <v>0</v>
      </c>
      <c r="F23" s="105">
        <f>'Result Analysis XII'!X97</f>
        <v>0</v>
      </c>
      <c r="G23" s="105">
        <f>'Result Analysis XII'!X95</f>
        <v>0</v>
      </c>
      <c r="H23" s="80">
        <f>'Result Analysis XII'!X93</f>
        <v>0</v>
      </c>
    </row>
    <row r="28" spans="1:23" x14ac:dyDescent="0.3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290" t="s">
        <v>110</v>
      </c>
      <c r="V28" s="290"/>
      <c r="W28" s="290"/>
    </row>
    <row r="29" spans="1:23" ht="18" x14ac:dyDescent="0.3">
      <c r="A29" s="291" t="s">
        <v>221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</row>
    <row r="30" spans="1:23" x14ac:dyDescent="0.3">
      <c r="A30" s="5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spans="1:23" ht="15.75" x14ac:dyDescent="0.3">
      <c r="A31" s="295" t="s">
        <v>225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</row>
    <row r="32" spans="1:23" ht="15.75" thickBot="1" x14ac:dyDescent="0.35">
      <c r="A32" s="5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3" ht="25.9" customHeight="1" thickBot="1" x14ac:dyDescent="0.35">
      <c r="A33" s="293" t="s">
        <v>2</v>
      </c>
      <c r="B33" s="293" t="s">
        <v>42</v>
      </c>
      <c r="C33" s="294" t="s">
        <v>222</v>
      </c>
      <c r="D33" s="294"/>
      <c r="E33" s="294"/>
      <c r="F33" s="294"/>
      <c r="G33" s="294"/>
      <c r="H33" s="294"/>
      <c r="I33" s="294"/>
      <c r="J33" s="293" t="s">
        <v>223</v>
      </c>
      <c r="K33" s="293"/>
      <c r="L33" s="293"/>
      <c r="M33" s="293"/>
      <c r="N33" s="293"/>
      <c r="O33" s="293"/>
      <c r="P33" s="293"/>
      <c r="Q33" s="293" t="s">
        <v>224</v>
      </c>
      <c r="R33" s="293"/>
      <c r="S33" s="293"/>
      <c r="T33" s="293"/>
      <c r="U33" s="293"/>
      <c r="V33" s="293"/>
      <c r="W33" s="293"/>
    </row>
    <row r="34" spans="1:23" ht="15.75" thickBot="1" x14ac:dyDescent="0.35">
      <c r="A34" s="294"/>
      <c r="B34" s="293"/>
      <c r="C34" s="294" t="s">
        <v>46</v>
      </c>
      <c r="D34" s="294"/>
      <c r="E34" s="294"/>
      <c r="F34" s="294"/>
      <c r="G34" s="294"/>
      <c r="H34" s="294"/>
      <c r="I34" s="294"/>
      <c r="J34" s="294" t="s">
        <v>47</v>
      </c>
      <c r="K34" s="294"/>
      <c r="L34" s="294"/>
      <c r="M34" s="294"/>
      <c r="N34" s="294"/>
      <c r="O34" s="294"/>
      <c r="P34" s="294"/>
      <c r="Q34" s="294" t="s">
        <v>47</v>
      </c>
      <c r="R34" s="294"/>
      <c r="S34" s="294"/>
      <c r="T34" s="294"/>
      <c r="U34" s="294"/>
      <c r="V34" s="294"/>
      <c r="W34" s="45"/>
    </row>
    <row r="35" spans="1:23" ht="34.5" thickBot="1" x14ac:dyDescent="0.35">
      <c r="A35" s="294"/>
      <c r="B35" s="293"/>
      <c r="C35" s="46" t="s">
        <v>48</v>
      </c>
      <c r="D35" s="46" t="s">
        <v>49</v>
      </c>
      <c r="E35" s="46" t="s">
        <v>111</v>
      </c>
      <c r="F35" s="45" t="s">
        <v>106</v>
      </c>
      <c r="G35" s="45" t="s">
        <v>107</v>
      </c>
      <c r="H35" s="45" t="s">
        <v>108</v>
      </c>
      <c r="I35" s="46" t="s">
        <v>112</v>
      </c>
      <c r="J35" s="46" t="s">
        <v>48</v>
      </c>
      <c r="K35" s="46" t="s">
        <v>49</v>
      </c>
      <c r="L35" s="46" t="s">
        <v>111</v>
      </c>
      <c r="M35" s="45" t="s">
        <v>106</v>
      </c>
      <c r="N35" s="45" t="s">
        <v>107</v>
      </c>
      <c r="O35" s="45" t="s">
        <v>108</v>
      </c>
      <c r="P35" s="46" t="s">
        <v>113</v>
      </c>
      <c r="Q35" s="46" t="s">
        <v>48</v>
      </c>
      <c r="R35" s="46" t="s">
        <v>49</v>
      </c>
      <c r="S35" s="46" t="s">
        <v>111</v>
      </c>
      <c r="T35" s="45" t="s">
        <v>106</v>
      </c>
      <c r="U35" s="45" t="s">
        <v>107</v>
      </c>
      <c r="V35" s="45" t="s">
        <v>108</v>
      </c>
      <c r="W35" s="46" t="s">
        <v>113</v>
      </c>
    </row>
    <row r="36" spans="1:23" ht="15.75" thickBot="1" x14ac:dyDescent="0.35">
      <c r="A36" s="53">
        <v>1</v>
      </c>
      <c r="B36" s="53">
        <v>2</v>
      </c>
      <c r="C36" s="53">
        <v>3</v>
      </c>
      <c r="D36" s="53">
        <v>4</v>
      </c>
      <c r="E36" s="53">
        <v>5</v>
      </c>
      <c r="F36" s="53">
        <v>6</v>
      </c>
      <c r="G36" s="53">
        <v>7</v>
      </c>
      <c r="H36" s="53">
        <v>8</v>
      </c>
      <c r="I36" s="53">
        <v>9</v>
      </c>
      <c r="J36" s="53">
        <v>10</v>
      </c>
      <c r="K36" s="53">
        <v>11</v>
      </c>
      <c r="L36" s="53">
        <v>12</v>
      </c>
      <c r="M36" s="53">
        <v>13</v>
      </c>
      <c r="N36" s="53">
        <v>14</v>
      </c>
      <c r="O36" s="53">
        <v>15</v>
      </c>
      <c r="P36" s="53">
        <v>16</v>
      </c>
      <c r="Q36" s="53">
        <v>17</v>
      </c>
      <c r="R36" s="53">
        <v>18</v>
      </c>
      <c r="S36" s="53">
        <v>19</v>
      </c>
      <c r="T36" s="53">
        <v>20</v>
      </c>
      <c r="U36" s="53">
        <v>21</v>
      </c>
      <c r="V36" s="53">
        <v>22</v>
      </c>
      <c r="W36" s="53">
        <v>23</v>
      </c>
    </row>
    <row r="37" spans="1:23" ht="30.75" thickBot="1" x14ac:dyDescent="0.35">
      <c r="A37" s="77">
        <v>1</v>
      </c>
      <c r="B37" s="85" t="str">
        <f>B23</f>
        <v>Kareera, Mohindergarh</v>
      </c>
      <c r="C37" s="64">
        <f>COUNTIFS('Result Analysis XII'!$B$6:$B$84,"6",'Result Analysis XII'!$Y6:$Y84,"&gt;0")</f>
        <v>0</v>
      </c>
      <c r="D37" s="64">
        <f>COUNTIFS('Result Analysis XII'!$B$6:$B$84,"6",'Result Analysis XII'!$Y6:$Y84,"&lt;33")</f>
        <v>0</v>
      </c>
      <c r="E37" s="64">
        <f>COUNTIFS('Result Analysis XII'!$B$6:$B$84,"6",'Result Analysis XII'!$Y6:$Y84,"&lt;33")</f>
        <v>0</v>
      </c>
      <c r="F37" s="64">
        <f>COUNTIFS('Result Analysis XII'!$B$6:$B$84,"6",'Result Analysis XII'!$Y6:$Y84,"&gt;=33")-G37-H37-I37</f>
        <v>0</v>
      </c>
      <c r="G37" s="64">
        <f>COUNTIFS('Result Analysis XII'!$B$6:$B$84,"6",'Result Analysis XII'!$Y6:$Y84,"&gt;=60")-H37-I37</f>
        <v>0</v>
      </c>
      <c r="H37" s="64">
        <f>COUNTIFS('Result Analysis XII'!$B$6:$B$84,"6",'Result Analysis XII'!$Y6:$Y84,"&gt;=75")-I37</f>
        <v>0</v>
      </c>
      <c r="I37" s="64">
        <f>COUNTIFS('Result Analysis XII'!$B$6:$B$84,"6",'Result Analysis XII'!$Y6:$Y84,"&gt;=90")</f>
        <v>0</v>
      </c>
      <c r="J37" s="64">
        <f>COUNTIFS('Result Analysis XII'!$B$6:$B$84,"9",'Result Analysis XII'!$Y6:$Y84,"&gt;0")</f>
        <v>0</v>
      </c>
      <c r="K37" s="64">
        <f>COUNTIFS('Result Analysis XII'!$B$6:$B$84,"9",'Result Analysis XII'!$Y6:$Y84,"&lt;33")</f>
        <v>0</v>
      </c>
      <c r="L37" s="64">
        <f>COUNTIFS('Result Analysis XII'!$B$6:$B$84,"9",'Result Analysis XII'!$Y6:$Y84,"&lt;33")</f>
        <v>0</v>
      </c>
      <c r="M37" s="64">
        <f>COUNTIFS('Result Analysis XII'!$B$6:$B$84,"9",'Result Analysis XII'!$Y6:$Y84,"&gt;=33")-N37-O37-P37</f>
        <v>0</v>
      </c>
      <c r="N37" s="64">
        <f>COUNTIFS('Result Analysis XII'!$B$6:$B$84,"9",'Result Analysis XII'!$Y6:$Y84,"&gt;=60")-O37-P37</f>
        <v>0</v>
      </c>
      <c r="O37" s="64">
        <f>COUNTIFS('Result Analysis XII'!$B$6:$B$84,"9",'Result Analysis XII'!$Y6:$Y84,"&gt;=75")-P37</f>
        <v>0</v>
      </c>
      <c r="P37" s="64">
        <f>COUNTIFS('Result Analysis XII'!$B$6:$B$84,"9",'Result Analysis XII'!$Y6:$Y84,"&gt;=90")</f>
        <v>0</v>
      </c>
      <c r="Q37" s="64">
        <f>COUNTIFS('Result Analysis XII'!$B$6:$B$84,"11",'Result Analysis XII'!$Y6:$Y84,"&gt;0")</f>
        <v>0</v>
      </c>
      <c r="R37" s="64">
        <f>COUNTIFS('Result Analysis XII'!$B$6:$B$84,"11",'Result Analysis XII'!$Y6:$Y84,"&lt;33")</f>
        <v>0</v>
      </c>
      <c r="S37" s="64">
        <f>COUNTIFS('Result Analysis XII'!$B$6:$B$84,"11",'Result Analysis XII'!$Y6:$Y84,"&lt;33")</f>
        <v>0</v>
      </c>
      <c r="T37" s="64">
        <f>COUNTIFS('Result Analysis XII'!$B$6:$B$84,"11",'Result Analysis XII'!$Y6:$Y84,"&gt;=33")-U37-V37-W37</f>
        <v>0</v>
      </c>
      <c r="U37" s="64">
        <f>COUNTIFS('Result Analysis XII'!$B$6:$B$84,"11",'Result Analysis XII'!$Y6:$Y84,"&gt;=60")-V37-W37</f>
        <v>0</v>
      </c>
      <c r="V37" s="64">
        <f>COUNTIFS('Result Analysis XII'!$B$6:$B$84,"11",'Result Analysis XII'!$Y6:$Y84,"&gt;=75")-W37</f>
        <v>0</v>
      </c>
      <c r="W37" s="64">
        <f>COUNTIFS('Result Analysis XII'!$B$6:$B$84,"11",'Result Analysis XII'!$Y6:$Y84,"&gt;=90")</f>
        <v>0</v>
      </c>
    </row>
    <row r="41" spans="1:23" x14ac:dyDescent="0.3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290" t="s">
        <v>114</v>
      </c>
      <c r="O41" s="290"/>
      <c r="P41" s="290"/>
    </row>
    <row r="42" spans="1:23" ht="18" x14ac:dyDescent="0.3">
      <c r="A42" s="291" t="s">
        <v>221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</row>
    <row r="43" spans="1:23" x14ac:dyDescent="0.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23" ht="15.75" x14ac:dyDescent="0.3">
      <c r="A44" s="292" t="s">
        <v>226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</row>
    <row r="45" spans="1:23" ht="15.75" thickBot="1" x14ac:dyDescent="0.3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23" ht="15.75" thickBot="1" x14ac:dyDescent="0.35">
      <c r="A46" s="293" t="s">
        <v>2</v>
      </c>
      <c r="B46" s="293" t="s">
        <v>42</v>
      </c>
      <c r="C46" s="294" t="s">
        <v>62</v>
      </c>
      <c r="D46" s="294"/>
      <c r="E46" s="294"/>
      <c r="F46" s="294"/>
      <c r="G46" s="294"/>
      <c r="H46" s="294"/>
      <c r="I46" s="294"/>
      <c r="J46" s="294" t="s">
        <v>63</v>
      </c>
      <c r="K46" s="294"/>
      <c r="L46" s="294"/>
      <c r="M46" s="294"/>
      <c r="N46" s="294"/>
      <c r="O46" s="294"/>
      <c r="P46" s="294"/>
    </row>
    <row r="47" spans="1:23" ht="15.75" thickBot="1" x14ac:dyDescent="0.35">
      <c r="A47" s="294"/>
      <c r="B47" s="293"/>
      <c r="C47" s="294" t="s">
        <v>46</v>
      </c>
      <c r="D47" s="294"/>
      <c r="E47" s="294"/>
      <c r="F47" s="294"/>
      <c r="G47" s="294"/>
      <c r="H47" s="294"/>
      <c r="I47" s="294"/>
      <c r="J47" s="294" t="s">
        <v>47</v>
      </c>
      <c r="K47" s="294"/>
      <c r="L47" s="294"/>
      <c r="M47" s="294"/>
      <c r="N47" s="294"/>
      <c r="O47" s="294"/>
      <c r="P47" s="294"/>
    </row>
    <row r="48" spans="1:23" ht="34.5" thickBot="1" x14ac:dyDescent="0.35">
      <c r="A48" s="294"/>
      <c r="B48" s="293"/>
      <c r="C48" s="46" t="s">
        <v>48</v>
      </c>
      <c r="D48" s="46" t="s">
        <v>49</v>
      </c>
      <c r="E48" s="46" t="s">
        <v>111</v>
      </c>
      <c r="F48" s="46" t="s">
        <v>106</v>
      </c>
      <c r="G48" s="46" t="s">
        <v>107</v>
      </c>
      <c r="H48" s="46" t="s">
        <v>108</v>
      </c>
      <c r="I48" s="46" t="s">
        <v>112</v>
      </c>
      <c r="J48" s="46" t="s">
        <v>48</v>
      </c>
      <c r="K48" s="46" t="s">
        <v>49</v>
      </c>
      <c r="L48" s="46" t="s">
        <v>111</v>
      </c>
      <c r="M48" s="46" t="s">
        <v>106</v>
      </c>
      <c r="N48" s="46" t="s">
        <v>107</v>
      </c>
      <c r="O48" s="46" t="s">
        <v>108</v>
      </c>
      <c r="P48" s="46" t="s">
        <v>113</v>
      </c>
    </row>
    <row r="49" spans="1:23" ht="15.75" thickBot="1" x14ac:dyDescent="0.35">
      <c r="A49" s="174">
        <v>1</v>
      </c>
      <c r="B49" s="174">
        <v>2</v>
      </c>
      <c r="C49" s="174">
        <v>3</v>
      </c>
      <c r="D49" s="174">
        <v>4</v>
      </c>
      <c r="E49" s="174">
        <v>5</v>
      </c>
      <c r="F49" s="174">
        <v>6</v>
      </c>
      <c r="G49" s="174">
        <v>7</v>
      </c>
      <c r="H49" s="174">
        <v>8</v>
      </c>
      <c r="I49" s="174">
        <v>9</v>
      </c>
      <c r="J49" s="174">
        <v>10</v>
      </c>
      <c r="K49" s="174">
        <v>11</v>
      </c>
      <c r="L49" s="174">
        <v>12</v>
      </c>
      <c r="M49" s="174">
        <v>13</v>
      </c>
      <c r="N49" s="174">
        <v>14</v>
      </c>
      <c r="O49" s="174">
        <v>15</v>
      </c>
      <c r="P49" s="174">
        <v>16</v>
      </c>
    </row>
    <row r="50" spans="1:23" ht="30.75" thickBot="1" x14ac:dyDescent="0.35">
      <c r="A50" s="77">
        <v>1</v>
      </c>
      <c r="B50" s="84" t="str">
        <f>B37</f>
        <v>Kareera, Mohindergarh</v>
      </c>
      <c r="C50" s="64">
        <f>COUNTIFS('Result Analysis XII'!$I$6:$I$84,"RURAL",'Result Analysis XII'!$Y6:$Y84,"&gt;0")</f>
        <v>0</v>
      </c>
      <c r="D50" s="64">
        <f>COUNTIFS('Result Analysis XII'!$I$6:$I$84,"RURAL",'Result Analysis XII'!$Y6:$Y84,"&gt;=33")</f>
        <v>0</v>
      </c>
      <c r="E50" s="64">
        <f>COUNTIFS('Result Analysis XII'!$I$6:$I$84,"RURAL",'Result Analysis XII'!$Y6:$Y84,"&lt;33")</f>
        <v>0</v>
      </c>
      <c r="F50" s="64">
        <f>COUNTIFS('Result Analysis XII'!$I$6:$I$84,"RURAL",'Result Analysis XII'!$Y6:$Y84,"&gt;=33")-G50-H50-I50</f>
        <v>0</v>
      </c>
      <c r="G50" s="64">
        <f>COUNTIFS('Result Analysis XII'!$I$6:$I$84,"RURAL",'Result Analysis XII'!$Y6:$Y84,"&gt;=60")-H50-I50</f>
        <v>0</v>
      </c>
      <c r="H50" s="64">
        <f>COUNTIFS('Result Analysis XII'!$I$6:$I$84,"RURAL",'Result Analysis XII'!$Y6:$Y84,"&gt;=75")-I50</f>
        <v>0</v>
      </c>
      <c r="I50" s="64">
        <f>COUNTIFS('Result Analysis XII'!$I$6:$I$84,"RURAL",'Result Analysis XII'!$Y6:$Y84,"&gt;=90")</f>
        <v>0</v>
      </c>
      <c r="J50" s="64">
        <f>COUNTIFS('Result Analysis XII'!$I$6:$I$84,"URBAN",'Result Analysis XII'!$Y6:$Y84,"&gt;0")</f>
        <v>0</v>
      </c>
      <c r="K50" s="64">
        <f>COUNTIFS('Result Analysis XII'!$I$6:$I$84,"URBAN",'Result Analysis XII'!$Y6:$Y84,"&gt;=33")</f>
        <v>0</v>
      </c>
      <c r="L50" s="64">
        <f>COUNTIFS('Result Analysis XII'!$I$6:$I$84,"URBAN",'Result Analysis XII'!$Y6:$Y84,"&lt;33")</f>
        <v>0</v>
      </c>
      <c r="M50" s="64">
        <f>COUNTIFS('Result Analysis XII'!$I$6:$I$84,"URBAN",'Result Analysis XII'!$Y6:$Y84,"&gt;=33")-N50-O50-P50</f>
        <v>0</v>
      </c>
      <c r="N50" s="64">
        <f>COUNTIFS('Result Analysis XII'!$I$6:$I$84,"URBAN",'Result Analysis XII'!$Y6:$Y84,"&gt;=60")-O50-P50</f>
        <v>0</v>
      </c>
      <c r="O50" s="64">
        <f>COUNTIFS('Result Analysis XII'!$I$6:$I$84,"URBAN",'Result Analysis XII'!$Y6:$Y84,"&gt;=75")-P50</f>
        <v>0</v>
      </c>
      <c r="P50" s="64">
        <f>COUNTIFS('Result Analysis XII'!$I$6:$I$84,"URBAN",'Result Analysis XII'!$Y6:$Y84,"&gt;=90")</f>
        <v>0</v>
      </c>
    </row>
    <row r="54" spans="1:23" x14ac:dyDescent="0.3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290" t="s">
        <v>115</v>
      </c>
      <c r="V54" s="290"/>
      <c r="W54" s="290"/>
    </row>
    <row r="55" spans="1:23" ht="18" x14ac:dyDescent="0.3">
      <c r="A55" s="291" t="s">
        <v>221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</row>
    <row r="56" spans="1:23" x14ac:dyDescent="0.3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</row>
    <row r="57" spans="1:23" ht="15.75" x14ac:dyDescent="0.3">
      <c r="A57" s="292" t="s">
        <v>227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</row>
    <row r="58" spans="1:23" ht="15.75" thickBot="1" x14ac:dyDescent="0.3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</row>
    <row r="59" spans="1:23" ht="15.75" thickBot="1" x14ac:dyDescent="0.35">
      <c r="A59" s="293" t="s">
        <v>2</v>
      </c>
      <c r="B59" s="293" t="s">
        <v>57</v>
      </c>
      <c r="C59" s="294" t="s">
        <v>58</v>
      </c>
      <c r="D59" s="294"/>
      <c r="E59" s="294"/>
      <c r="F59" s="294"/>
      <c r="G59" s="294"/>
      <c r="H59" s="294"/>
      <c r="I59" s="294"/>
      <c r="J59" s="294" t="s">
        <v>59</v>
      </c>
      <c r="K59" s="294"/>
      <c r="L59" s="294"/>
      <c r="M59" s="294"/>
      <c r="N59" s="294"/>
      <c r="O59" s="294"/>
      <c r="P59" s="294"/>
      <c r="Q59" s="294" t="s">
        <v>60</v>
      </c>
      <c r="R59" s="294"/>
      <c r="S59" s="294"/>
      <c r="T59" s="294"/>
      <c r="U59" s="294"/>
      <c r="V59" s="294"/>
      <c r="W59" s="294"/>
    </row>
    <row r="60" spans="1:23" ht="15.75" thickBot="1" x14ac:dyDescent="0.35">
      <c r="A60" s="294"/>
      <c r="B60" s="293"/>
      <c r="C60" s="294" t="s">
        <v>61</v>
      </c>
      <c r="D60" s="294"/>
      <c r="E60" s="294"/>
      <c r="F60" s="294"/>
      <c r="G60" s="294"/>
      <c r="H60" s="294"/>
      <c r="I60" s="294"/>
      <c r="J60" s="294" t="s">
        <v>47</v>
      </c>
      <c r="K60" s="294"/>
      <c r="L60" s="294"/>
      <c r="M60" s="294"/>
      <c r="N60" s="294"/>
      <c r="O60" s="294"/>
      <c r="P60" s="294"/>
      <c r="Q60" s="294" t="s">
        <v>46</v>
      </c>
      <c r="R60" s="294"/>
      <c r="S60" s="294"/>
      <c r="T60" s="294"/>
      <c r="U60" s="294"/>
      <c r="V60" s="294"/>
      <c r="W60" s="294"/>
    </row>
    <row r="61" spans="1:23" ht="45.75" thickBot="1" x14ac:dyDescent="0.35">
      <c r="A61" s="294"/>
      <c r="B61" s="293"/>
      <c r="C61" s="46" t="s">
        <v>48</v>
      </c>
      <c r="D61" s="46" t="s">
        <v>49</v>
      </c>
      <c r="E61" s="46" t="s">
        <v>111</v>
      </c>
      <c r="F61" s="45" t="s">
        <v>106</v>
      </c>
      <c r="G61" s="45" t="s">
        <v>107</v>
      </c>
      <c r="H61" s="45" t="s">
        <v>108</v>
      </c>
      <c r="I61" s="46" t="s">
        <v>112</v>
      </c>
      <c r="J61" s="46" t="s">
        <v>48</v>
      </c>
      <c r="K61" s="46" t="s">
        <v>49</v>
      </c>
      <c r="L61" s="46" t="s">
        <v>111</v>
      </c>
      <c r="M61" s="45" t="s">
        <v>106</v>
      </c>
      <c r="N61" s="45" t="s">
        <v>107</v>
      </c>
      <c r="O61" s="45" t="s">
        <v>108</v>
      </c>
      <c r="P61" s="46" t="s">
        <v>112</v>
      </c>
      <c r="Q61" s="46" t="s">
        <v>48</v>
      </c>
      <c r="R61" s="46" t="s">
        <v>49</v>
      </c>
      <c r="S61" s="46" t="s">
        <v>111</v>
      </c>
      <c r="T61" s="45" t="s">
        <v>106</v>
      </c>
      <c r="U61" s="45" t="s">
        <v>107</v>
      </c>
      <c r="V61" s="45" t="s">
        <v>108</v>
      </c>
      <c r="W61" s="46" t="s">
        <v>112</v>
      </c>
    </row>
    <row r="62" spans="1:23" ht="15.75" thickBot="1" x14ac:dyDescent="0.35">
      <c r="A62" s="174">
        <v>1</v>
      </c>
      <c r="B62" s="174">
        <v>2</v>
      </c>
      <c r="C62" s="174">
        <v>3</v>
      </c>
      <c r="D62" s="174">
        <v>4</v>
      </c>
      <c r="E62" s="174">
        <v>5</v>
      </c>
      <c r="F62" s="174">
        <v>6</v>
      </c>
      <c r="G62" s="174">
        <v>7</v>
      </c>
      <c r="H62" s="174">
        <v>8</v>
      </c>
      <c r="I62" s="174">
        <v>9</v>
      </c>
      <c r="J62" s="174">
        <v>10</v>
      </c>
      <c r="K62" s="174">
        <v>11</v>
      </c>
      <c r="L62" s="174">
        <v>12</v>
      </c>
      <c r="M62" s="174">
        <v>13</v>
      </c>
      <c r="N62" s="174">
        <v>14</v>
      </c>
      <c r="O62" s="174">
        <v>15</v>
      </c>
      <c r="P62" s="174">
        <v>16</v>
      </c>
      <c r="Q62" s="174">
        <v>17</v>
      </c>
      <c r="R62" s="174">
        <v>18</v>
      </c>
      <c r="S62" s="174">
        <v>19</v>
      </c>
      <c r="T62" s="174">
        <v>20</v>
      </c>
      <c r="U62" s="174">
        <v>21</v>
      </c>
      <c r="V62" s="174">
        <v>22</v>
      </c>
      <c r="W62" s="174">
        <v>23</v>
      </c>
    </row>
    <row r="63" spans="1:23" ht="30.75" thickBot="1" x14ac:dyDescent="0.35">
      <c r="A63" s="77">
        <v>1</v>
      </c>
      <c r="B63" s="85" t="str">
        <f>B50</f>
        <v>Kareera, Mohindergarh</v>
      </c>
      <c r="C63" s="64">
        <f>COUNTIFS('Result Analysis XII'!$G$6:$G$84,"OBC",'Result Analysis XII'!$Y6:$Y84,"&gt;0")</f>
        <v>0</v>
      </c>
      <c r="D63" s="64">
        <f>COUNTIFS('Result Analysis XII'!$G$6:$G$84,"OBC",'Result Analysis XII'!$Y6:$Y84,"&gt;=33")</f>
        <v>0</v>
      </c>
      <c r="E63" s="64">
        <f>COUNTIFS('Result Analysis XII'!$G$6:$G$84,"OBC",'Result Analysis XII'!$Y6:$Y84,"&lt;33")</f>
        <v>0</v>
      </c>
      <c r="F63" s="64">
        <f>COUNTIFS('Result Analysis XII'!$G$6:$G$84,"OBC",'Result Analysis XII'!$Y6:$Y84,"&gt;=33")-G63-H63-I63</f>
        <v>0</v>
      </c>
      <c r="G63" s="64">
        <f>COUNTIFS('Result Analysis XII'!$G$6:$G$84,"OBC",'Result Analysis XII'!$Y6:$Y84,"&gt;=60")-H63-I63</f>
        <v>0</v>
      </c>
      <c r="H63" s="64">
        <f>COUNTIFS('Result Analysis XII'!$G$6:$G$84,"OBC",'Result Analysis XII'!$Y6:$Y84,"&gt;=75")-I63</f>
        <v>0</v>
      </c>
      <c r="I63" s="64">
        <f>COUNTIFS('Result Analysis XII'!$G$6:$G$84,"OBC",'Result Analysis XII'!$Y6:$Y84,"&gt;=90")</f>
        <v>0</v>
      </c>
      <c r="J63" s="64">
        <f>COUNTIFS('Result Analysis XII'!$AA$6:$AA$84,"YES",'Result Analysis XII'!$Y6:$Y84,"&gt;0")</f>
        <v>0</v>
      </c>
      <c r="K63" s="64">
        <f>COUNTIFS('Result Analysis XII'!$AA$6:$AA$84,"YES",'Result Analysis XII'!$Y6:$Y84,"&gt;=33")</f>
        <v>0</v>
      </c>
      <c r="L63" s="64">
        <f>COUNTIFS('Result Analysis XII'!$AA$6:$AA$84,"YES",'Result Analysis XII'!$Y6:$Y84,"&lt;33")</f>
        <v>0</v>
      </c>
      <c r="M63" s="64">
        <f>COUNTIFS('Result Analysis XII'!$AA$6:$AA$84,"YES",'Result Analysis XII'!$Y6:$Y84,"&gt;=33")-N63-O63-P63</f>
        <v>0</v>
      </c>
      <c r="N63" s="64">
        <f>COUNTIFS('Result Analysis XII'!$AA$6:$AA$84,"YES",'Result Analysis XII'!$Y6:$Y84,"&gt;=60")-O63-P63</f>
        <v>0</v>
      </c>
      <c r="O63" s="64">
        <f>COUNTIFS('Result Analysis XII'!$AA$6:$AA$84,"YES",'Result Analysis XII'!$Y6:$Y84,"&gt;=75")-P63</f>
        <v>0</v>
      </c>
      <c r="P63" s="64">
        <f>COUNTIFS('Result Analysis XII'!$AA$6:$AA$84,"YES",'Result Analysis XII'!$Y6:$Y84,"&gt;=90")</f>
        <v>0</v>
      </c>
      <c r="Q63" s="64">
        <f>COUNTIFS('Result Analysis XII'!$D$6:$D$84,"YES",'Result Analysis XII'!$Y6:$Y84,"&gt;0")</f>
        <v>0</v>
      </c>
      <c r="R63" s="64">
        <f>COUNTIFS('Result Analysis XII'!$D$6:$D$84,"YES",'Result Analysis XII'!$Y6:$Y84,"&gt;=33")</f>
        <v>0</v>
      </c>
      <c r="S63" s="64">
        <f>COUNTIFS('Result Analysis XII'!$D$6:$D$84,"YES",'Result Analysis XII'!$Y6:$Y84,"&lt;33")</f>
        <v>0</v>
      </c>
      <c r="T63" s="64">
        <f>COUNTIFS('Result Analysis XII'!$D$6:$D$84,"YES",'Result Analysis XII'!$Y6:$Y84,"&gt;=33")-U63-V63-W63</f>
        <v>0</v>
      </c>
      <c r="U63" s="64">
        <f>COUNTIFS('Result Analysis XII'!$D$6:$D$84,"YES",'Result Analysis XII'!$Y6:$Y84,"&gt;=60")-V63-W63</f>
        <v>0</v>
      </c>
      <c r="V63" s="64">
        <f>COUNTIFS('Result Analysis XII'!$D$6:$D$84,"YES",'Result Analysis XII'!$Y6:$Y84,"&gt;=75")-W63</f>
        <v>0</v>
      </c>
      <c r="W63" s="64">
        <f>COUNTIFS('Result Analysis XII'!$D$6:$D$84,"YES",'Result Analysis XII'!$Y6:$Y84,"&gt;=90")</f>
        <v>0</v>
      </c>
    </row>
  </sheetData>
  <sheetProtection algorithmName="SHA-512" hashValue="6AQba0H0brHzgfZtNyXCsCn4b3cyumhmCl1EzYl3JIGYOGaqMwyYIlgI95Mix0doGggrPJ11BYRnEcUTsdFphg==" saltValue="AhjI8z9lffUGrYTHFhQzRQ==" spinCount="100000" sheet="1" objects="1" scenarios="1"/>
  <mergeCells count="42">
    <mergeCell ref="J1:K1"/>
    <mergeCell ref="A2:K2"/>
    <mergeCell ref="A4:K4"/>
    <mergeCell ref="A11:K11"/>
    <mergeCell ref="G15:H15"/>
    <mergeCell ref="A16:H16"/>
    <mergeCell ref="A18:H18"/>
    <mergeCell ref="A20:A21"/>
    <mergeCell ref="B20:B21"/>
    <mergeCell ref="C20:C21"/>
    <mergeCell ref="D20:H20"/>
    <mergeCell ref="U28:W28"/>
    <mergeCell ref="A29:W29"/>
    <mergeCell ref="A31:W31"/>
    <mergeCell ref="A33:A35"/>
    <mergeCell ref="B33:B35"/>
    <mergeCell ref="C33:I33"/>
    <mergeCell ref="J33:P33"/>
    <mergeCell ref="Q33:W33"/>
    <mergeCell ref="C34:I34"/>
    <mergeCell ref="J34:P34"/>
    <mergeCell ref="Q34:V34"/>
    <mergeCell ref="N41:P41"/>
    <mergeCell ref="A42:P42"/>
    <mergeCell ref="A44:P44"/>
    <mergeCell ref="A46:A48"/>
    <mergeCell ref="B46:B48"/>
    <mergeCell ref="C46:I46"/>
    <mergeCell ref="J46:P46"/>
    <mergeCell ref="C47:I47"/>
    <mergeCell ref="J47:P47"/>
    <mergeCell ref="U54:W54"/>
    <mergeCell ref="A55:W55"/>
    <mergeCell ref="A57:W57"/>
    <mergeCell ref="A59:A61"/>
    <mergeCell ref="B59:B61"/>
    <mergeCell ref="C59:I59"/>
    <mergeCell ref="J59:P59"/>
    <mergeCell ref="Q59:W59"/>
    <mergeCell ref="C60:I60"/>
    <mergeCell ref="J60:P60"/>
    <mergeCell ref="Q60:W6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</sheetPr>
  <dimension ref="A1:Z112"/>
  <sheetViews>
    <sheetView tabSelected="1" topLeftCell="G1" zoomScaleNormal="100" zoomScaleSheetLayoutView="100" workbookViewId="0">
      <selection activeCell="S15" sqref="S15"/>
    </sheetView>
  </sheetViews>
  <sheetFormatPr defaultColWidth="9.140625" defaultRowHeight="15" x14ac:dyDescent="0.25"/>
  <cols>
    <col min="1" max="1" width="3.5703125" style="155" customWidth="1"/>
    <col min="2" max="2" width="7.28515625" style="155" customWidth="1"/>
    <col min="3" max="3" width="6.7109375" style="151" customWidth="1"/>
    <col min="4" max="4" width="10.28515625" style="155" customWidth="1"/>
    <col min="5" max="5" width="22.7109375" style="151" bestFit="1" customWidth="1"/>
    <col min="6" max="6" width="6.42578125" style="155" customWidth="1"/>
    <col min="7" max="7" width="9.85546875" style="163" customWidth="1"/>
    <col min="8" max="8" width="21" style="163" bestFit="1" customWidth="1"/>
    <col min="9" max="9" width="6.7109375" style="163" customWidth="1"/>
    <col min="10" max="11" width="7.28515625" style="163" customWidth="1"/>
    <col min="12" max="16" width="7.5703125" style="151" customWidth="1"/>
    <col min="17" max="17" width="8.42578125" style="151" customWidth="1"/>
    <col min="18" max="18" width="7.5703125" style="151" customWidth="1"/>
    <col min="19" max="19" width="6.85546875" style="151" customWidth="1"/>
    <col min="20" max="20" width="5.85546875" style="151" bestFit="1" customWidth="1"/>
    <col min="21" max="21" width="15.28515625" style="151" bestFit="1" customWidth="1"/>
    <col min="22" max="22" width="26.85546875" style="151" bestFit="1" customWidth="1"/>
    <col min="23" max="23" width="32.5703125" style="151" customWidth="1"/>
    <col min="24" max="16384" width="9.140625" style="151"/>
  </cols>
  <sheetData>
    <row r="1" spans="1:26" ht="20.25" customHeight="1" x14ac:dyDescent="0.25">
      <c r="A1" s="345" t="s">
        <v>201</v>
      </c>
      <c r="B1" s="345"/>
      <c r="C1" s="345"/>
      <c r="D1" s="345"/>
      <c r="E1" s="345"/>
      <c r="F1" s="345"/>
      <c r="G1" s="345"/>
      <c r="H1" s="345"/>
      <c r="I1" s="345"/>
      <c r="J1" s="345"/>
      <c r="K1" s="346" t="s">
        <v>81</v>
      </c>
      <c r="L1" s="346"/>
      <c r="M1" s="346"/>
      <c r="N1" s="346" t="s">
        <v>45</v>
      </c>
      <c r="O1" s="346"/>
      <c r="P1" s="346" t="s">
        <v>83</v>
      </c>
      <c r="Q1" s="346"/>
      <c r="R1" s="346"/>
      <c r="S1" s="346"/>
      <c r="T1" s="346"/>
      <c r="U1" s="346"/>
      <c r="V1" s="445" t="s">
        <v>208</v>
      </c>
      <c r="W1" s="445"/>
    </row>
    <row r="2" spans="1:26" ht="15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445"/>
      <c r="W2" s="445"/>
    </row>
    <row r="3" spans="1:26" ht="21" customHeight="1" x14ac:dyDescent="0.25">
      <c r="A3" s="363" t="s">
        <v>202</v>
      </c>
      <c r="B3" s="363"/>
      <c r="C3" s="363"/>
      <c r="D3" s="363"/>
      <c r="E3" s="363"/>
      <c r="F3" s="363"/>
      <c r="G3" s="363"/>
      <c r="H3" s="348">
        <v>540005</v>
      </c>
      <c r="I3" s="350"/>
      <c r="J3" s="363" t="s">
        <v>203</v>
      </c>
      <c r="K3" s="363"/>
      <c r="L3" s="363"/>
      <c r="M3" s="363"/>
      <c r="N3" s="363"/>
      <c r="O3" s="363"/>
      <c r="P3" s="363"/>
      <c r="Q3" s="363"/>
      <c r="R3" s="363"/>
      <c r="S3" s="348">
        <v>44506</v>
      </c>
      <c r="T3" s="349"/>
      <c r="U3" s="350"/>
      <c r="V3" s="445"/>
      <c r="W3" s="445"/>
    </row>
    <row r="4" spans="1:26" ht="22.5" customHeight="1" x14ac:dyDescent="0.25">
      <c r="A4" s="351" t="s">
        <v>4</v>
      </c>
      <c r="B4" s="351" t="s">
        <v>239</v>
      </c>
      <c r="C4" s="357" t="s">
        <v>84</v>
      </c>
      <c r="D4" s="358" t="s">
        <v>66</v>
      </c>
      <c r="E4" s="358" t="s">
        <v>67</v>
      </c>
      <c r="F4" s="358" t="s">
        <v>187</v>
      </c>
      <c r="G4" s="358" t="s">
        <v>255</v>
      </c>
      <c r="H4" s="353" t="s">
        <v>68</v>
      </c>
      <c r="I4" s="353" t="s">
        <v>69</v>
      </c>
      <c r="J4" s="365" t="s">
        <v>70</v>
      </c>
      <c r="K4" s="365" t="s">
        <v>71</v>
      </c>
      <c r="L4" s="343" t="s">
        <v>72</v>
      </c>
      <c r="M4" s="343" t="s">
        <v>199</v>
      </c>
      <c r="N4" s="343" t="s">
        <v>73</v>
      </c>
      <c r="O4" s="343" t="s">
        <v>200</v>
      </c>
      <c r="P4" s="343" t="s">
        <v>88</v>
      </c>
      <c r="Q4" s="137" t="s">
        <v>207</v>
      </c>
      <c r="R4" s="357" t="s">
        <v>237</v>
      </c>
      <c r="S4" s="358" t="s">
        <v>238</v>
      </c>
      <c r="T4" s="343" t="s">
        <v>178</v>
      </c>
      <c r="U4" s="342" t="s">
        <v>95</v>
      </c>
      <c r="V4" s="327" t="s">
        <v>209</v>
      </c>
      <c r="W4" s="327" t="s">
        <v>210</v>
      </c>
    </row>
    <row r="5" spans="1:26" ht="16.899999999999999" customHeight="1" x14ac:dyDescent="0.25">
      <c r="A5" s="351"/>
      <c r="B5" s="352"/>
      <c r="C5" s="357"/>
      <c r="D5" s="359"/>
      <c r="E5" s="343"/>
      <c r="F5" s="358"/>
      <c r="G5" s="358"/>
      <c r="H5" s="353"/>
      <c r="I5" s="364"/>
      <c r="J5" s="365"/>
      <c r="K5" s="365"/>
      <c r="L5" s="344"/>
      <c r="M5" s="344"/>
      <c r="N5" s="344"/>
      <c r="O5" s="344"/>
      <c r="P5" s="344"/>
      <c r="Q5" s="138"/>
      <c r="R5" s="357"/>
      <c r="S5" s="358"/>
      <c r="T5" s="344"/>
      <c r="U5" s="342"/>
      <c r="V5" s="327"/>
      <c r="W5" s="327"/>
    </row>
    <row r="6" spans="1:26" ht="15" customHeight="1" x14ac:dyDescent="0.25">
      <c r="A6" s="107">
        <v>1</v>
      </c>
      <c r="B6" s="69"/>
      <c r="C6" s="128"/>
      <c r="D6" s="152"/>
      <c r="E6" s="153"/>
      <c r="F6" s="152"/>
      <c r="G6" s="153"/>
      <c r="H6" s="153"/>
      <c r="I6" s="152"/>
      <c r="J6" s="69"/>
      <c r="K6" s="69"/>
      <c r="L6" s="152"/>
      <c r="M6" s="152"/>
      <c r="N6" s="152"/>
      <c r="O6" s="152"/>
      <c r="P6" s="152"/>
      <c r="Q6" s="154"/>
      <c r="R6" s="139" t="str">
        <f>IF((OR(ISNUMBER(L6),ISNUMBER(M6),ISNUMBER(N6),ISNUMBER(O6),ISNUMBER(P6))),L6+M6+N6+O6+P6,"")</f>
        <v/>
      </c>
      <c r="S6" s="140" t="str">
        <f>IF(ISNUMBER(R6),R6/5,"")</f>
        <v/>
      </c>
      <c r="T6" s="141" t="str">
        <f>IF(ISNUMBER(R6),RANK(R6,R$6:R$85,0),"")</f>
        <v/>
      </c>
      <c r="U6" s="191" t="str">
        <f>IF(E6&gt;0,IF(AND(L6&gt;=33,M6&gt;=33,N6&gt;=33,O6&gt;=33,P6&gt;=33),"PASS","Essential Repeat"),"")</f>
        <v/>
      </c>
      <c r="V6" s="163" t="str">
        <f>IF(LEN(U6)&gt;1,IF((AND($O6&gt;=60,$N6&gt;=60,(($N6+$O6)&gt;=130),$S6&gt;=65)),"Science With Mathematics",IF((AND($O6&gt;=60,$N6&gt;=50,(($N6+$O6)&gt;=130),$S6&gt;=65)),"Science Without Mathematics",IF((AND($N6&gt;=60,$S6&gt;=50)),"Commerce With Mathematics",IF((AND($N6&gt;=45,$S6&gt;=50)),"Commerce Without Mathematics",IF(U6="PASS","Humanities","NOT ELIGIBIBLE"))))),"")</f>
        <v/>
      </c>
      <c r="W6" s="163"/>
      <c r="X6" s="155"/>
      <c r="Y6" s="156"/>
      <c r="Z6" s="155"/>
    </row>
    <row r="7" spans="1:26" ht="15" customHeight="1" x14ac:dyDescent="0.25">
      <c r="A7" s="107" t="str">
        <f t="shared" ref="A7:A70" si="0">IF(I7&gt;0,A6+1,"")</f>
        <v/>
      </c>
      <c r="B7" s="69"/>
      <c r="C7" s="128"/>
      <c r="D7" s="152"/>
      <c r="E7" s="153"/>
      <c r="F7" s="152"/>
      <c r="G7" s="153"/>
      <c r="H7" s="153"/>
      <c r="I7" s="152"/>
      <c r="J7" s="69"/>
      <c r="K7" s="69"/>
      <c r="L7" s="152"/>
      <c r="M7" s="152"/>
      <c r="N7" s="152"/>
      <c r="O7" s="152"/>
      <c r="P7" s="152"/>
      <c r="Q7" s="154"/>
      <c r="R7" s="139" t="str">
        <f>IF((OR(ISNUMBER(L7),ISNUMBER(M7),ISNUMBER(N7),ISNUMBER(O7),ISNUMBER(P7))),L7+M7+N7+O7+P7,"")</f>
        <v/>
      </c>
      <c r="S7" s="140" t="str">
        <f>IF(ISNUMBER(R7),R7/5,"")</f>
        <v/>
      </c>
      <c r="T7" s="141" t="str">
        <f t="shared" ref="T7:T70" si="1">IF(ISNUMBER(R7),RANK(R7,R$6:R$85,0),"")</f>
        <v/>
      </c>
      <c r="U7" s="191" t="str">
        <f>IF(E7&gt;0,IF(AND(L7&gt;=33,M7&gt;=33,N7&gt;=33,O7&gt;=33,P7&gt;=33),"PASS","Essential Repeat"),"")</f>
        <v/>
      </c>
      <c r="V7" s="163" t="str">
        <f>IF(LEN(U7)&gt;1,IF((AND($O7&gt;=60,$N7&gt;=60,(($N7+$O7)&gt;=130),$S7&gt;=65)),"Science With Mathematics",IF((AND($O7&gt;=60,$N7&gt;=50,(($N7+$O7)&gt;=130),$S7&gt;=65)),"Science Without Mathematics",IF((AND($N7&gt;=60,$S7&gt;=50)),"Commerce With Mathematics",IF((AND($N7&gt;=45,$S7&gt;=50)),"Commerce Without Mathematics",IF(U7="PASS","Humanities","NOT ELIGIBIBLE"))))),"")</f>
        <v/>
      </c>
      <c r="W7" s="155"/>
      <c r="X7" s="155"/>
      <c r="Y7" s="156"/>
      <c r="Z7" s="155"/>
    </row>
    <row r="8" spans="1:26" ht="15" customHeight="1" x14ac:dyDescent="0.25">
      <c r="A8" s="107" t="str">
        <f t="shared" si="0"/>
        <v/>
      </c>
      <c r="B8" s="69"/>
      <c r="C8" s="128"/>
      <c r="D8" s="152"/>
      <c r="E8" s="153"/>
      <c r="F8" s="152"/>
      <c r="G8" s="153"/>
      <c r="H8" s="153"/>
      <c r="I8" s="152"/>
      <c r="J8" s="69"/>
      <c r="K8" s="69"/>
      <c r="L8" s="152"/>
      <c r="M8" s="152"/>
      <c r="N8" s="152"/>
      <c r="O8" s="152"/>
      <c r="P8" s="152"/>
      <c r="Q8" s="154"/>
      <c r="R8" s="139" t="str">
        <f t="shared" ref="R8:R71" si="2">IF((OR(ISNUMBER(L8),ISNUMBER(M8),ISNUMBER(N8),ISNUMBER(O8),ISNUMBER(P8))),L8+M8+N8+O8+P8,"")</f>
        <v/>
      </c>
      <c r="S8" s="140" t="str">
        <f t="shared" ref="S8:S71" si="3">IF(ISNUMBER(R8),R8/5,"")</f>
        <v/>
      </c>
      <c r="T8" s="141" t="str">
        <f t="shared" si="1"/>
        <v/>
      </c>
      <c r="U8" s="191" t="str">
        <f t="shared" ref="U8:U71" si="4">IF(E8&gt;0,IF(AND(L8&gt;=33,M8&gt;=33,N8&gt;=33,O8&gt;=33,P8&gt;=33),"PASS","Essential Repeat"),"")</f>
        <v/>
      </c>
      <c r="V8" s="163" t="str">
        <f t="shared" ref="V8:V71" si="5">IF(LEN(U8)&gt;1,IF((AND($O8&gt;=60,$N8&gt;=60,(($N8+$O8)&gt;=130),$S8&gt;=65)),"Science With Mathematics",IF((AND($O8&gt;=60,$N8&gt;=50,(($N8+$O8)&gt;=130),$S8&gt;=65)),"Science Without Mathematics",IF((AND($N8&gt;=60,$S8&gt;=50)),"Commerce With Mathematics",IF((AND($N8&gt;=45,$S8&gt;=50)),"Commerce Without Mathematics",IF(U8="PASS","Humanities","NOT ELIGIBIBLE"))))),"")</f>
        <v/>
      </c>
      <c r="W8" s="155"/>
      <c r="X8" s="155"/>
      <c r="Y8" s="156"/>
      <c r="Z8" s="155"/>
    </row>
    <row r="9" spans="1:26" ht="15" customHeight="1" x14ac:dyDescent="0.25">
      <c r="A9" s="107" t="str">
        <f t="shared" si="0"/>
        <v/>
      </c>
      <c r="B9" s="69"/>
      <c r="C9" s="128"/>
      <c r="D9" s="152"/>
      <c r="E9" s="153"/>
      <c r="F9" s="152"/>
      <c r="G9" s="153"/>
      <c r="H9" s="153"/>
      <c r="I9" s="152"/>
      <c r="J9" s="69"/>
      <c r="K9" s="69"/>
      <c r="L9" s="152"/>
      <c r="M9" s="152"/>
      <c r="N9" s="152"/>
      <c r="O9" s="152"/>
      <c r="P9" s="152"/>
      <c r="Q9" s="154"/>
      <c r="R9" s="139" t="str">
        <f t="shared" si="2"/>
        <v/>
      </c>
      <c r="S9" s="140" t="str">
        <f t="shared" si="3"/>
        <v/>
      </c>
      <c r="T9" s="141" t="str">
        <f t="shared" si="1"/>
        <v/>
      </c>
      <c r="U9" s="191" t="str">
        <f t="shared" si="4"/>
        <v/>
      </c>
      <c r="V9" s="163" t="str">
        <f t="shared" si="5"/>
        <v/>
      </c>
      <c r="W9" s="155"/>
      <c r="X9" s="155"/>
      <c r="Y9" s="156"/>
      <c r="Z9" s="155"/>
    </row>
    <row r="10" spans="1:26" ht="15" customHeight="1" x14ac:dyDescent="0.25">
      <c r="A10" s="107" t="str">
        <f t="shared" si="0"/>
        <v/>
      </c>
      <c r="B10" s="69"/>
      <c r="C10" s="128"/>
      <c r="D10" s="152"/>
      <c r="E10" s="153"/>
      <c r="F10" s="152"/>
      <c r="G10" s="153"/>
      <c r="H10" s="153"/>
      <c r="I10" s="152"/>
      <c r="J10" s="69"/>
      <c r="K10" s="69"/>
      <c r="L10" s="152"/>
      <c r="M10" s="152"/>
      <c r="N10" s="152"/>
      <c r="O10" s="152"/>
      <c r="P10" s="152"/>
      <c r="Q10" s="154"/>
      <c r="R10" s="139" t="str">
        <f t="shared" si="2"/>
        <v/>
      </c>
      <c r="S10" s="140" t="str">
        <f t="shared" si="3"/>
        <v/>
      </c>
      <c r="T10" s="141" t="str">
        <f t="shared" si="1"/>
        <v/>
      </c>
      <c r="U10" s="191" t="str">
        <f t="shared" si="4"/>
        <v/>
      </c>
      <c r="V10" s="163" t="str">
        <f t="shared" si="5"/>
        <v/>
      </c>
      <c r="W10" s="155"/>
      <c r="X10" s="155"/>
      <c r="Y10" s="156"/>
      <c r="Z10" s="155"/>
    </row>
    <row r="11" spans="1:26" ht="15" customHeight="1" x14ac:dyDescent="0.25">
      <c r="A11" s="107" t="str">
        <f t="shared" si="0"/>
        <v/>
      </c>
      <c r="B11" s="69"/>
      <c r="C11" s="128"/>
      <c r="D11" s="152"/>
      <c r="E11" s="153"/>
      <c r="F11" s="152"/>
      <c r="G11" s="153"/>
      <c r="H11" s="153"/>
      <c r="I11" s="152"/>
      <c r="J11" s="69"/>
      <c r="K11" s="69"/>
      <c r="L11" s="152"/>
      <c r="M11" s="152"/>
      <c r="N11" s="152"/>
      <c r="O11" s="152"/>
      <c r="P11" s="152"/>
      <c r="Q11" s="154"/>
      <c r="R11" s="139" t="str">
        <f t="shared" si="2"/>
        <v/>
      </c>
      <c r="S11" s="140" t="str">
        <f t="shared" si="3"/>
        <v/>
      </c>
      <c r="T11" s="141" t="str">
        <f t="shared" si="1"/>
        <v/>
      </c>
      <c r="U11" s="191" t="str">
        <f t="shared" si="4"/>
        <v/>
      </c>
      <c r="V11" s="163" t="str">
        <f t="shared" si="5"/>
        <v/>
      </c>
      <c r="W11" s="155"/>
      <c r="X11" s="155"/>
      <c r="Y11" s="156"/>
      <c r="Z11" s="155"/>
    </row>
    <row r="12" spans="1:26" ht="15" customHeight="1" x14ac:dyDescent="0.25">
      <c r="A12" s="107" t="str">
        <f t="shared" si="0"/>
        <v/>
      </c>
      <c r="B12" s="69"/>
      <c r="C12" s="128"/>
      <c r="D12" s="152"/>
      <c r="E12" s="153"/>
      <c r="F12" s="152"/>
      <c r="G12" s="153"/>
      <c r="H12" s="153"/>
      <c r="I12" s="152"/>
      <c r="J12" s="69"/>
      <c r="K12" s="69"/>
      <c r="L12" s="152"/>
      <c r="M12" s="152"/>
      <c r="N12" s="152"/>
      <c r="O12" s="152"/>
      <c r="P12" s="152"/>
      <c r="Q12" s="154"/>
      <c r="R12" s="139" t="str">
        <f t="shared" si="2"/>
        <v/>
      </c>
      <c r="S12" s="140" t="str">
        <f t="shared" si="3"/>
        <v/>
      </c>
      <c r="T12" s="141" t="str">
        <f t="shared" si="1"/>
        <v/>
      </c>
      <c r="U12" s="191" t="str">
        <f t="shared" si="4"/>
        <v/>
      </c>
      <c r="V12" s="163" t="str">
        <f t="shared" si="5"/>
        <v/>
      </c>
      <c r="W12" s="155"/>
      <c r="X12" s="155"/>
      <c r="Y12" s="156"/>
      <c r="Z12" s="155"/>
    </row>
    <row r="13" spans="1:26" ht="15" customHeight="1" x14ac:dyDescent="0.25">
      <c r="A13" s="107" t="str">
        <f t="shared" si="0"/>
        <v/>
      </c>
      <c r="B13" s="66"/>
      <c r="C13" s="128"/>
      <c r="D13" s="152"/>
      <c r="E13" s="153"/>
      <c r="F13" s="152"/>
      <c r="G13" s="153"/>
      <c r="H13" s="153"/>
      <c r="I13" s="152"/>
      <c r="J13" s="69"/>
      <c r="K13" s="69"/>
      <c r="L13" s="152"/>
      <c r="M13" s="152"/>
      <c r="N13" s="152"/>
      <c r="O13" s="152"/>
      <c r="P13" s="152"/>
      <c r="Q13" s="154"/>
      <c r="R13" s="139" t="str">
        <f t="shared" si="2"/>
        <v/>
      </c>
      <c r="S13" s="140" t="str">
        <f t="shared" si="3"/>
        <v/>
      </c>
      <c r="T13" s="141" t="str">
        <f t="shared" si="1"/>
        <v/>
      </c>
      <c r="U13" s="191" t="str">
        <f t="shared" si="4"/>
        <v/>
      </c>
      <c r="V13" s="163" t="str">
        <f t="shared" si="5"/>
        <v/>
      </c>
      <c r="W13" s="155"/>
      <c r="X13" s="155"/>
      <c r="Y13" s="156"/>
      <c r="Z13" s="155"/>
    </row>
    <row r="14" spans="1:26" ht="15" customHeight="1" x14ac:dyDescent="0.25">
      <c r="A14" s="107" t="str">
        <f t="shared" si="0"/>
        <v/>
      </c>
      <c r="B14" s="66"/>
      <c r="C14" s="128"/>
      <c r="D14" s="152"/>
      <c r="E14" s="153"/>
      <c r="F14" s="152"/>
      <c r="G14" s="153"/>
      <c r="H14" s="153"/>
      <c r="I14" s="152"/>
      <c r="J14" s="69"/>
      <c r="K14" s="69"/>
      <c r="L14" s="152"/>
      <c r="M14" s="152"/>
      <c r="N14" s="152"/>
      <c r="O14" s="152"/>
      <c r="P14" s="152"/>
      <c r="Q14" s="154"/>
      <c r="R14" s="139" t="str">
        <f t="shared" si="2"/>
        <v/>
      </c>
      <c r="S14" s="140" t="str">
        <f t="shared" si="3"/>
        <v/>
      </c>
      <c r="T14" s="141" t="str">
        <f t="shared" si="1"/>
        <v/>
      </c>
      <c r="U14" s="191" t="str">
        <f t="shared" si="4"/>
        <v/>
      </c>
      <c r="V14" s="163" t="str">
        <f t="shared" si="5"/>
        <v/>
      </c>
      <c r="W14" s="155"/>
      <c r="X14" s="155"/>
      <c r="Y14" s="156"/>
      <c r="Z14" s="155"/>
    </row>
    <row r="15" spans="1:26" ht="15" customHeight="1" x14ac:dyDescent="0.25">
      <c r="A15" s="107" t="str">
        <f t="shared" si="0"/>
        <v/>
      </c>
      <c r="B15" s="66"/>
      <c r="C15" s="128"/>
      <c r="D15" s="152"/>
      <c r="E15" s="153"/>
      <c r="F15" s="152"/>
      <c r="G15" s="153"/>
      <c r="H15" s="153"/>
      <c r="I15" s="152"/>
      <c r="J15" s="69"/>
      <c r="K15" s="69"/>
      <c r="L15" s="152"/>
      <c r="M15" s="152"/>
      <c r="N15" s="152"/>
      <c r="O15" s="152"/>
      <c r="P15" s="152"/>
      <c r="Q15" s="154"/>
      <c r="R15" s="139" t="str">
        <f t="shared" si="2"/>
        <v/>
      </c>
      <c r="S15" s="140" t="str">
        <f t="shared" si="3"/>
        <v/>
      </c>
      <c r="T15" s="141" t="str">
        <f t="shared" si="1"/>
        <v/>
      </c>
      <c r="U15" s="191" t="str">
        <f t="shared" si="4"/>
        <v/>
      </c>
      <c r="V15" s="163" t="str">
        <f t="shared" si="5"/>
        <v/>
      </c>
      <c r="W15" s="155"/>
      <c r="X15" s="155"/>
      <c r="Y15" s="156"/>
      <c r="Z15" s="155"/>
    </row>
    <row r="16" spans="1:26" ht="15" customHeight="1" x14ac:dyDescent="0.25">
      <c r="A16" s="107" t="str">
        <f t="shared" si="0"/>
        <v/>
      </c>
      <c r="B16" s="66"/>
      <c r="C16" s="128"/>
      <c r="D16" s="152"/>
      <c r="E16" s="153"/>
      <c r="F16" s="152"/>
      <c r="G16" s="153"/>
      <c r="H16" s="153"/>
      <c r="I16" s="152"/>
      <c r="J16" s="69"/>
      <c r="K16" s="69"/>
      <c r="L16" s="152"/>
      <c r="M16" s="152"/>
      <c r="N16" s="152"/>
      <c r="O16" s="152"/>
      <c r="P16" s="152"/>
      <c r="Q16" s="154"/>
      <c r="R16" s="139" t="str">
        <f t="shared" si="2"/>
        <v/>
      </c>
      <c r="S16" s="140" t="str">
        <f t="shared" si="3"/>
        <v/>
      </c>
      <c r="T16" s="203" t="str">
        <f t="shared" si="1"/>
        <v/>
      </c>
      <c r="U16" s="191" t="str">
        <f t="shared" si="4"/>
        <v/>
      </c>
      <c r="V16" s="163" t="str">
        <f t="shared" si="5"/>
        <v/>
      </c>
      <c r="W16" s="155"/>
      <c r="X16" s="155"/>
      <c r="Y16" s="156"/>
      <c r="Z16" s="155"/>
    </row>
    <row r="17" spans="1:26" ht="15" customHeight="1" x14ac:dyDescent="0.25">
      <c r="A17" s="107" t="str">
        <f t="shared" si="0"/>
        <v/>
      </c>
      <c r="B17" s="66"/>
      <c r="C17" s="128"/>
      <c r="D17" s="152"/>
      <c r="E17" s="153"/>
      <c r="F17" s="152"/>
      <c r="G17" s="153"/>
      <c r="H17" s="153"/>
      <c r="I17" s="152"/>
      <c r="J17" s="69"/>
      <c r="K17" s="69"/>
      <c r="L17" s="152"/>
      <c r="M17" s="152"/>
      <c r="N17" s="152"/>
      <c r="O17" s="152"/>
      <c r="P17" s="152"/>
      <c r="Q17" s="154"/>
      <c r="R17" s="139" t="str">
        <f t="shared" si="2"/>
        <v/>
      </c>
      <c r="S17" s="140" t="str">
        <f t="shared" si="3"/>
        <v/>
      </c>
      <c r="T17" s="141" t="str">
        <f t="shared" si="1"/>
        <v/>
      </c>
      <c r="U17" s="191" t="str">
        <f t="shared" si="4"/>
        <v/>
      </c>
      <c r="V17" s="163" t="str">
        <f t="shared" si="5"/>
        <v/>
      </c>
      <c r="W17" s="155"/>
      <c r="X17" s="155"/>
      <c r="Y17" s="156"/>
      <c r="Z17" s="155"/>
    </row>
    <row r="18" spans="1:26" ht="15" customHeight="1" x14ac:dyDescent="0.25">
      <c r="A18" s="107" t="str">
        <f t="shared" si="0"/>
        <v/>
      </c>
      <c r="B18" s="66"/>
      <c r="C18" s="128"/>
      <c r="D18" s="152"/>
      <c r="E18" s="153"/>
      <c r="F18" s="152"/>
      <c r="G18" s="153"/>
      <c r="H18" s="153"/>
      <c r="I18" s="152"/>
      <c r="J18" s="69"/>
      <c r="K18" s="69"/>
      <c r="L18" s="152"/>
      <c r="M18" s="152"/>
      <c r="N18" s="152"/>
      <c r="O18" s="152"/>
      <c r="P18" s="152"/>
      <c r="Q18" s="154"/>
      <c r="R18" s="139" t="str">
        <f t="shared" si="2"/>
        <v/>
      </c>
      <c r="S18" s="140" t="str">
        <f t="shared" si="3"/>
        <v/>
      </c>
      <c r="T18" s="141" t="str">
        <f t="shared" si="1"/>
        <v/>
      </c>
      <c r="U18" s="191" t="str">
        <f t="shared" si="4"/>
        <v/>
      </c>
      <c r="V18" s="163" t="str">
        <f t="shared" si="5"/>
        <v/>
      </c>
      <c r="W18" s="155"/>
      <c r="X18" s="155"/>
      <c r="Y18" s="156"/>
      <c r="Z18" s="155"/>
    </row>
    <row r="19" spans="1:26" ht="15" customHeight="1" x14ac:dyDescent="0.25">
      <c r="A19" s="107" t="str">
        <f t="shared" si="0"/>
        <v/>
      </c>
      <c r="B19" s="66"/>
      <c r="C19" s="128"/>
      <c r="D19" s="152"/>
      <c r="E19" s="153"/>
      <c r="F19" s="152"/>
      <c r="G19" s="153"/>
      <c r="H19" s="153"/>
      <c r="I19" s="152"/>
      <c r="J19" s="69"/>
      <c r="K19" s="69"/>
      <c r="L19" s="152"/>
      <c r="M19" s="152"/>
      <c r="N19" s="152"/>
      <c r="O19" s="152"/>
      <c r="P19" s="152"/>
      <c r="Q19" s="154"/>
      <c r="R19" s="139" t="str">
        <f t="shared" si="2"/>
        <v/>
      </c>
      <c r="S19" s="140" t="str">
        <f t="shared" si="3"/>
        <v/>
      </c>
      <c r="T19" s="141" t="str">
        <f t="shared" si="1"/>
        <v/>
      </c>
      <c r="U19" s="191" t="str">
        <f t="shared" si="4"/>
        <v/>
      </c>
      <c r="V19" s="163" t="str">
        <f t="shared" si="5"/>
        <v/>
      </c>
      <c r="W19" s="155"/>
      <c r="X19" s="155"/>
      <c r="Y19" s="156"/>
      <c r="Z19" s="155"/>
    </row>
    <row r="20" spans="1:26" ht="15" customHeight="1" x14ac:dyDescent="0.25">
      <c r="A20" s="107" t="str">
        <f t="shared" si="0"/>
        <v/>
      </c>
      <c r="B20" s="66"/>
      <c r="C20" s="128"/>
      <c r="D20" s="152"/>
      <c r="E20" s="153"/>
      <c r="F20" s="152"/>
      <c r="G20" s="153"/>
      <c r="H20" s="153"/>
      <c r="I20" s="152"/>
      <c r="J20" s="69"/>
      <c r="K20" s="69"/>
      <c r="L20" s="152"/>
      <c r="M20" s="152"/>
      <c r="N20" s="152"/>
      <c r="O20" s="152"/>
      <c r="P20" s="152"/>
      <c r="Q20" s="154"/>
      <c r="R20" s="139" t="str">
        <f t="shared" si="2"/>
        <v/>
      </c>
      <c r="S20" s="140" t="str">
        <f t="shared" si="3"/>
        <v/>
      </c>
      <c r="T20" s="141" t="str">
        <f t="shared" si="1"/>
        <v/>
      </c>
      <c r="U20" s="191" t="str">
        <f t="shared" si="4"/>
        <v/>
      </c>
      <c r="V20" s="163" t="str">
        <f t="shared" si="5"/>
        <v/>
      </c>
      <c r="W20" s="155"/>
      <c r="X20" s="155"/>
      <c r="Y20" s="156"/>
      <c r="Z20" s="155"/>
    </row>
    <row r="21" spans="1:26" ht="15" customHeight="1" x14ac:dyDescent="0.25">
      <c r="A21" s="107" t="str">
        <f t="shared" si="0"/>
        <v/>
      </c>
      <c r="B21" s="66"/>
      <c r="C21" s="128"/>
      <c r="D21" s="152"/>
      <c r="E21" s="153"/>
      <c r="F21" s="152"/>
      <c r="G21" s="153"/>
      <c r="H21" s="153"/>
      <c r="I21" s="152"/>
      <c r="J21" s="69"/>
      <c r="K21" s="69"/>
      <c r="L21" s="152"/>
      <c r="M21" s="152"/>
      <c r="N21" s="152"/>
      <c r="O21" s="152"/>
      <c r="P21" s="152"/>
      <c r="Q21" s="154"/>
      <c r="R21" s="139" t="str">
        <f t="shared" si="2"/>
        <v/>
      </c>
      <c r="S21" s="140" t="str">
        <f t="shared" si="3"/>
        <v/>
      </c>
      <c r="T21" s="141" t="str">
        <f t="shared" si="1"/>
        <v/>
      </c>
      <c r="U21" s="191" t="str">
        <f t="shared" si="4"/>
        <v/>
      </c>
      <c r="V21" s="163" t="str">
        <f t="shared" si="5"/>
        <v/>
      </c>
      <c r="W21" s="155"/>
      <c r="X21" s="155"/>
      <c r="Y21" s="156"/>
      <c r="Z21" s="155"/>
    </row>
    <row r="22" spans="1:26" ht="15" customHeight="1" x14ac:dyDescent="0.25">
      <c r="A22" s="107" t="str">
        <f t="shared" si="0"/>
        <v/>
      </c>
      <c r="B22" s="66"/>
      <c r="C22" s="128"/>
      <c r="D22" s="152"/>
      <c r="E22" s="153"/>
      <c r="F22" s="152"/>
      <c r="G22" s="153"/>
      <c r="H22" s="153"/>
      <c r="I22" s="152"/>
      <c r="J22" s="69"/>
      <c r="K22" s="69"/>
      <c r="L22" s="152"/>
      <c r="M22" s="152"/>
      <c r="N22" s="152"/>
      <c r="O22" s="152"/>
      <c r="P22" s="152"/>
      <c r="Q22" s="154"/>
      <c r="R22" s="139" t="str">
        <f t="shared" si="2"/>
        <v/>
      </c>
      <c r="S22" s="140" t="str">
        <f t="shared" si="3"/>
        <v/>
      </c>
      <c r="T22" s="141" t="str">
        <f t="shared" si="1"/>
        <v/>
      </c>
      <c r="U22" s="191" t="str">
        <f t="shared" si="4"/>
        <v/>
      </c>
      <c r="V22" s="163" t="str">
        <f t="shared" si="5"/>
        <v/>
      </c>
      <c r="W22" s="155"/>
      <c r="X22" s="155"/>
      <c r="Y22" s="156"/>
      <c r="Z22" s="155"/>
    </row>
    <row r="23" spans="1:26" ht="15" customHeight="1" x14ac:dyDescent="0.25">
      <c r="A23" s="107" t="str">
        <f t="shared" si="0"/>
        <v/>
      </c>
      <c r="B23" s="66"/>
      <c r="C23" s="128"/>
      <c r="D23" s="152"/>
      <c r="E23" s="153"/>
      <c r="F23" s="152"/>
      <c r="G23" s="153"/>
      <c r="H23" s="153"/>
      <c r="I23" s="152"/>
      <c r="J23" s="69"/>
      <c r="K23" s="69"/>
      <c r="L23" s="152"/>
      <c r="M23" s="152"/>
      <c r="N23" s="152"/>
      <c r="O23" s="152"/>
      <c r="P23" s="152"/>
      <c r="Q23" s="154"/>
      <c r="R23" s="139" t="str">
        <f t="shared" si="2"/>
        <v/>
      </c>
      <c r="S23" s="140" t="str">
        <f t="shared" si="3"/>
        <v/>
      </c>
      <c r="T23" s="141" t="str">
        <f t="shared" si="1"/>
        <v/>
      </c>
      <c r="U23" s="191" t="str">
        <f t="shared" si="4"/>
        <v/>
      </c>
      <c r="V23" s="163" t="str">
        <f t="shared" si="5"/>
        <v/>
      </c>
      <c r="W23" s="155"/>
      <c r="X23" s="155"/>
      <c r="Y23" s="156"/>
      <c r="Z23" s="155"/>
    </row>
    <row r="24" spans="1:26" ht="15" customHeight="1" x14ac:dyDescent="0.25">
      <c r="A24" s="107" t="str">
        <f t="shared" si="0"/>
        <v/>
      </c>
      <c r="B24" s="66"/>
      <c r="C24" s="128"/>
      <c r="D24" s="152"/>
      <c r="E24" s="153"/>
      <c r="F24" s="152"/>
      <c r="G24" s="153"/>
      <c r="H24" s="153"/>
      <c r="I24" s="152"/>
      <c r="J24" s="69"/>
      <c r="K24" s="69"/>
      <c r="L24" s="152"/>
      <c r="M24" s="152"/>
      <c r="N24" s="152"/>
      <c r="O24" s="152"/>
      <c r="P24" s="152"/>
      <c r="Q24" s="154"/>
      <c r="R24" s="139" t="str">
        <f t="shared" si="2"/>
        <v/>
      </c>
      <c r="S24" s="140" t="str">
        <f t="shared" si="3"/>
        <v/>
      </c>
      <c r="T24" s="141" t="str">
        <f t="shared" si="1"/>
        <v/>
      </c>
      <c r="U24" s="191" t="str">
        <f t="shared" si="4"/>
        <v/>
      </c>
      <c r="V24" s="163" t="str">
        <f t="shared" si="5"/>
        <v/>
      </c>
      <c r="W24" s="155"/>
      <c r="X24" s="155"/>
      <c r="Y24" s="156"/>
      <c r="Z24" s="155"/>
    </row>
    <row r="25" spans="1:26" ht="15" customHeight="1" x14ac:dyDescent="0.25">
      <c r="A25" s="107" t="str">
        <f t="shared" si="0"/>
        <v/>
      </c>
      <c r="B25" s="66"/>
      <c r="C25" s="128"/>
      <c r="D25" s="152"/>
      <c r="E25" s="153"/>
      <c r="F25" s="152"/>
      <c r="G25" s="153"/>
      <c r="H25" s="153"/>
      <c r="I25" s="152"/>
      <c r="J25" s="69"/>
      <c r="K25" s="69"/>
      <c r="L25" s="152"/>
      <c r="M25" s="152"/>
      <c r="N25" s="152"/>
      <c r="O25" s="152"/>
      <c r="P25" s="152"/>
      <c r="Q25" s="154"/>
      <c r="R25" s="139" t="str">
        <f t="shared" si="2"/>
        <v/>
      </c>
      <c r="S25" s="140" t="str">
        <f t="shared" si="3"/>
        <v/>
      </c>
      <c r="T25" s="141" t="str">
        <f t="shared" si="1"/>
        <v/>
      </c>
      <c r="U25" s="191" t="str">
        <f t="shared" si="4"/>
        <v/>
      </c>
      <c r="V25" s="163" t="str">
        <f t="shared" si="5"/>
        <v/>
      </c>
      <c r="W25" s="155"/>
      <c r="X25" s="155"/>
      <c r="Y25" s="156"/>
      <c r="Z25" s="155"/>
    </row>
    <row r="26" spans="1:26" ht="15" customHeight="1" x14ac:dyDescent="0.25">
      <c r="A26" s="107" t="str">
        <f t="shared" si="0"/>
        <v/>
      </c>
      <c r="B26" s="66"/>
      <c r="C26" s="128"/>
      <c r="D26" s="152"/>
      <c r="E26" s="153"/>
      <c r="F26" s="152"/>
      <c r="G26" s="153"/>
      <c r="H26" s="153"/>
      <c r="I26" s="152"/>
      <c r="J26" s="69"/>
      <c r="K26" s="69"/>
      <c r="L26" s="152"/>
      <c r="M26" s="152"/>
      <c r="N26" s="152"/>
      <c r="O26" s="152"/>
      <c r="P26" s="152"/>
      <c r="Q26" s="154"/>
      <c r="R26" s="139" t="str">
        <f t="shared" si="2"/>
        <v/>
      </c>
      <c r="S26" s="140" t="str">
        <f t="shared" si="3"/>
        <v/>
      </c>
      <c r="T26" s="141" t="str">
        <f t="shared" si="1"/>
        <v/>
      </c>
      <c r="U26" s="191" t="str">
        <f t="shared" si="4"/>
        <v/>
      </c>
      <c r="V26" s="163" t="str">
        <f t="shared" si="5"/>
        <v/>
      </c>
      <c r="W26" s="155"/>
      <c r="X26" s="155"/>
      <c r="Y26" s="156"/>
      <c r="Z26" s="155"/>
    </row>
    <row r="27" spans="1:26" ht="15" customHeight="1" x14ac:dyDescent="0.25">
      <c r="A27" s="107" t="str">
        <f t="shared" si="0"/>
        <v/>
      </c>
      <c r="B27" s="66"/>
      <c r="C27" s="128"/>
      <c r="D27" s="152"/>
      <c r="E27" s="153"/>
      <c r="F27" s="152"/>
      <c r="G27" s="153"/>
      <c r="H27" s="153"/>
      <c r="I27" s="152"/>
      <c r="J27" s="69"/>
      <c r="K27" s="69"/>
      <c r="L27" s="152"/>
      <c r="M27" s="152"/>
      <c r="N27" s="152"/>
      <c r="O27" s="152"/>
      <c r="P27" s="152"/>
      <c r="Q27" s="154"/>
      <c r="R27" s="139" t="str">
        <f t="shared" si="2"/>
        <v/>
      </c>
      <c r="S27" s="140" t="str">
        <f t="shared" si="3"/>
        <v/>
      </c>
      <c r="T27" s="141" t="str">
        <f t="shared" si="1"/>
        <v/>
      </c>
      <c r="U27" s="191" t="str">
        <f t="shared" si="4"/>
        <v/>
      </c>
      <c r="V27" s="163" t="str">
        <f t="shared" si="5"/>
        <v/>
      </c>
      <c r="W27" s="155"/>
      <c r="X27" s="155"/>
      <c r="Y27" s="156"/>
      <c r="Z27" s="155"/>
    </row>
    <row r="28" spans="1:26" ht="15" customHeight="1" x14ac:dyDescent="0.25">
      <c r="A28" s="107" t="str">
        <f t="shared" si="0"/>
        <v/>
      </c>
      <c r="B28" s="66"/>
      <c r="C28" s="128"/>
      <c r="D28" s="152"/>
      <c r="E28" s="153"/>
      <c r="F28" s="152"/>
      <c r="G28" s="153"/>
      <c r="H28" s="153"/>
      <c r="I28" s="152"/>
      <c r="J28" s="69"/>
      <c r="K28" s="69"/>
      <c r="L28" s="152"/>
      <c r="M28" s="152"/>
      <c r="N28" s="152"/>
      <c r="O28" s="152"/>
      <c r="P28" s="152"/>
      <c r="Q28" s="154"/>
      <c r="R28" s="139" t="str">
        <f t="shared" si="2"/>
        <v/>
      </c>
      <c r="S28" s="140" t="str">
        <f t="shared" si="3"/>
        <v/>
      </c>
      <c r="T28" s="141" t="str">
        <f t="shared" si="1"/>
        <v/>
      </c>
      <c r="U28" s="191" t="str">
        <f t="shared" si="4"/>
        <v/>
      </c>
      <c r="V28" s="163" t="str">
        <f t="shared" si="5"/>
        <v/>
      </c>
      <c r="W28" s="155"/>
      <c r="X28" s="155"/>
      <c r="Y28" s="156"/>
      <c r="Z28" s="155"/>
    </row>
    <row r="29" spans="1:26" ht="15" customHeight="1" x14ac:dyDescent="0.25">
      <c r="A29" s="107" t="str">
        <f t="shared" si="0"/>
        <v/>
      </c>
      <c r="B29" s="66"/>
      <c r="C29" s="128"/>
      <c r="D29" s="152"/>
      <c r="E29" s="153"/>
      <c r="F29" s="152"/>
      <c r="G29" s="153"/>
      <c r="H29" s="153"/>
      <c r="I29" s="152"/>
      <c r="J29" s="69"/>
      <c r="K29" s="69"/>
      <c r="L29" s="152"/>
      <c r="M29" s="152"/>
      <c r="N29" s="152"/>
      <c r="O29" s="152"/>
      <c r="P29" s="152"/>
      <c r="Q29" s="154"/>
      <c r="R29" s="139" t="str">
        <f t="shared" si="2"/>
        <v/>
      </c>
      <c r="S29" s="140" t="str">
        <f t="shared" si="3"/>
        <v/>
      </c>
      <c r="T29" s="141" t="str">
        <f t="shared" si="1"/>
        <v/>
      </c>
      <c r="U29" s="191" t="str">
        <f t="shared" si="4"/>
        <v/>
      </c>
      <c r="V29" s="163" t="str">
        <f t="shared" si="5"/>
        <v/>
      </c>
      <c r="W29" s="155"/>
      <c r="X29" s="155"/>
      <c r="Y29" s="156"/>
      <c r="Z29" s="155"/>
    </row>
    <row r="30" spans="1:26" ht="15" customHeight="1" x14ac:dyDescent="0.25">
      <c r="A30" s="107" t="str">
        <f t="shared" si="0"/>
        <v/>
      </c>
      <c r="B30" s="66"/>
      <c r="C30" s="128"/>
      <c r="D30" s="152"/>
      <c r="E30" s="153"/>
      <c r="F30" s="152"/>
      <c r="G30" s="153"/>
      <c r="H30" s="153"/>
      <c r="I30" s="152"/>
      <c r="J30" s="192"/>
      <c r="K30" s="69"/>
      <c r="L30" s="152"/>
      <c r="M30" s="152"/>
      <c r="N30" s="152"/>
      <c r="O30" s="152"/>
      <c r="P30" s="152"/>
      <c r="Q30" s="154"/>
      <c r="R30" s="139" t="str">
        <f t="shared" si="2"/>
        <v/>
      </c>
      <c r="S30" s="140" t="str">
        <f t="shared" si="3"/>
        <v/>
      </c>
      <c r="T30" s="141" t="str">
        <f t="shared" si="1"/>
        <v/>
      </c>
      <c r="U30" s="191" t="str">
        <f t="shared" si="4"/>
        <v/>
      </c>
      <c r="V30" s="163" t="str">
        <f t="shared" si="5"/>
        <v/>
      </c>
      <c r="W30" s="155"/>
      <c r="X30" s="155"/>
      <c r="Y30" s="156"/>
      <c r="Z30" s="155"/>
    </row>
    <row r="31" spans="1:26" ht="15" customHeight="1" x14ac:dyDescent="0.25">
      <c r="A31" s="107" t="str">
        <f t="shared" si="0"/>
        <v/>
      </c>
      <c r="B31" s="66"/>
      <c r="C31" s="128"/>
      <c r="D31" s="152"/>
      <c r="E31" s="153"/>
      <c r="F31" s="152"/>
      <c r="G31" s="153"/>
      <c r="H31" s="153"/>
      <c r="I31" s="152"/>
      <c r="J31" s="192"/>
      <c r="K31" s="69"/>
      <c r="L31" s="152"/>
      <c r="M31" s="152"/>
      <c r="N31" s="152"/>
      <c r="O31" s="152"/>
      <c r="P31" s="152"/>
      <c r="Q31" s="154"/>
      <c r="R31" s="139" t="str">
        <f t="shared" si="2"/>
        <v/>
      </c>
      <c r="S31" s="140" t="str">
        <f t="shared" si="3"/>
        <v/>
      </c>
      <c r="T31" s="141" t="str">
        <f t="shared" si="1"/>
        <v/>
      </c>
      <c r="U31" s="191" t="str">
        <f t="shared" si="4"/>
        <v/>
      </c>
      <c r="V31" s="163" t="str">
        <f t="shared" si="5"/>
        <v/>
      </c>
      <c r="W31" s="155"/>
      <c r="X31" s="155"/>
      <c r="Y31" s="156"/>
      <c r="Z31" s="155"/>
    </row>
    <row r="32" spans="1:26" ht="15" customHeight="1" x14ac:dyDescent="0.25">
      <c r="A32" s="107" t="str">
        <f t="shared" si="0"/>
        <v/>
      </c>
      <c r="B32" s="66"/>
      <c r="C32" s="128"/>
      <c r="D32" s="152"/>
      <c r="E32" s="153"/>
      <c r="F32" s="152"/>
      <c r="G32" s="153"/>
      <c r="H32" s="153"/>
      <c r="I32" s="152"/>
      <c r="J32" s="192"/>
      <c r="K32" s="69"/>
      <c r="L32" s="152"/>
      <c r="M32" s="152"/>
      <c r="N32" s="152"/>
      <c r="O32" s="152"/>
      <c r="P32" s="152"/>
      <c r="Q32" s="154"/>
      <c r="R32" s="139" t="str">
        <f t="shared" si="2"/>
        <v/>
      </c>
      <c r="S32" s="140" t="str">
        <f t="shared" si="3"/>
        <v/>
      </c>
      <c r="T32" s="141" t="str">
        <f t="shared" si="1"/>
        <v/>
      </c>
      <c r="U32" s="191" t="str">
        <f t="shared" si="4"/>
        <v/>
      </c>
      <c r="V32" s="163" t="str">
        <f t="shared" si="5"/>
        <v/>
      </c>
      <c r="W32" s="155"/>
      <c r="X32" s="155"/>
      <c r="Y32" s="156"/>
      <c r="Z32" s="155"/>
    </row>
    <row r="33" spans="1:26" ht="15" customHeight="1" x14ac:dyDescent="0.25">
      <c r="A33" s="107" t="str">
        <f t="shared" si="0"/>
        <v/>
      </c>
      <c r="B33" s="66"/>
      <c r="C33" s="128"/>
      <c r="D33" s="152"/>
      <c r="E33" s="153"/>
      <c r="F33" s="152"/>
      <c r="G33" s="153"/>
      <c r="H33" s="153"/>
      <c r="I33" s="152"/>
      <c r="J33" s="192"/>
      <c r="K33" s="69"/>
      <c r="L33" s="152"/>
      <c r="M33" s="152"/>
      <c r="N33" s="152"/>
      <c r="O33" s="152"/>
      <c r="P33" s="152"/>
      <c r="Q33" s="154"/>
      <c r="R33" s="139" t="str">
        <f t="shared" si="2"/>
        <v/>
      </c>
      <c r="S33" s="140" t="str">
        <f t="shared" si="3"/>
        <v/>
      </c>
      <c r="T33" s="141" t="str">
        <f t="shared" si="1"/>
        <v/>
      </c>
      <c r="U33" s="191" t="str">
        <f t="shared" si="4"/>
        <v/>
      </c>
      <c r="V33" s="163" t="str">
        <f t="shared" si="5"/>
        <v/>
      </c>
      <c r="W33" s="155"/>
      <c r="X33" s="155"/>
      <c r="Y33" s="156"/>
      <c r="Z33" s="155"/>
    </row>
    <row r="34" spans="1:26" ht="15" customHeight="1" x14ac:dyDescent="0.25">
      <c r="A34" s="107" t="str">
        <f t="shared" si="0"/>
        <v/>
      </c>
      <c r="B34" s="66"/>
      <c r="C34" s="128"/>
      <c r="D34" s="152"/>
      <c r="E34" s="153"/>
      <c r="F34" s="152"/>
      <c r="G34" s="153"/>
      <c r="H34" s="153"/>
      <c r="I34" s="152"/>
      <c r="J34" s="192"/>
      <c r="K34" s="69"/>
      <c r="L34" s="152"/>
      <c r="M34" s="152"/>
      <c r="N34" s="152"/>
      <c r="O34" s="152"/>
      <c r="P34" s="152"/>
      <c r="Q34" s="154"/>
      <c r="R34" s="139" t="str">
        <f t="shared" si="2"/>
        <v/>
      </c>
      <c r="S34" s="140" t="str">
        <f t="shared" si="3"/>
        <v/>
      </c>
      <c r="T34" s="141" t="str">
        <f t="shared" si="1"/>
        <v/>
      </c>
      <c r="U34" s="191" t="str">
        <f t="shared" si="4"/>
        <v/>
      </c>
      <c r="V34" s="163" t="str">
        <f t="shared" si="5"/>
        <v/>
      </c>
      <c r="W34" s="155"/>
      <c r="X34" s="155"/>
      <c r="Y34" s="156"/>
      <c r="Z34" s="155"/>
    </row>
    <row r="35" spans="1:26" ht="15" customHeight="1" x14ac:dyDescent="0.25">
      <c r="A35" s="107" t="str">
        <f t="shared" si="0"/>
        <v/>
      </c>
      <c r="B35" s="66"/>
      <c r="C35" s="128"/>
      <c r="D35" s="152"/>
      <c r="E35" s="153"/>
      <c r="F35" s="152"/>
      <c r="G35" s="153"/>
      <c r="H35" s="153"/>
      <c r="I35" s="152"/>
      <c r="J35" s="69"/>
      <c r="K35" s="69"/>
      <c r="L35" s="152"/>
      <c r="M35" s="152"/>
      <c r="N35" s="152"/>
      <c r="O35" s="152"/>
      <c r="P35" s="152"/>
      <c r="Q35" s="154"/>
      <c r="R35" s="139" t="str">
        <f t="shared" si="2"/>
        <v/>
      </c>
      <c r="S35" s="140" t="str">
        <f t="shared" si="3"/>
        <v/>
      </c>
      <c r="T35" s="141" t="str">
        <f t="shared" si="1"/>
        <v/>
      </c>
      <c r="U35" s="191" t="str">
        <f t="shared" si="4"/>
        <v/>
      </c>
      <c r="V35" s="163" t="str">
        <f t="shared" si="5"/>
        <v/>
      </c>
      <c r="W35" s="155"/>
      <c r="X35" s="155"/>
      <c r="Y35" s="156"/>
      <c r="Z35" s="155"/>
    </row>
    <row r="36" spans="1:26" ht="15" customHeight="1" x14ac:dyDescent="0.25">
      <c r="A36" s="107" t="str">
        <f t="shared" si="0"/>
        <v/>
      </c>
      <c r="B36" s="66"/>
      <c r="C36" s="128"/>
      <c r="D36" s="152"/>
      <c r="E36" s="153"/>
      <c r="F36" s="152"/>
      <c r="G36" s="153"/>
      <c r="H36" s="153"/>
      <c r="I36" s="152"/>
      <c r="J36" s="192"/>
      <c r="K36" s="69"/>
      <c r="L36" s="152"/>
      <c r="M36" s="152"/>
      <c r="N36" s="152"/>
      <c r="O36" s="152"/>
      <c r="P36" s="152"/>
      <c r="Q36" s="154"/>
      <c r="R36" s="139" t="str">
        <f t="shared" si="2"/>
        <v/>
      </c>
      <c r="S36" s="140" t="str">
        <f t="shared" si="3"/>
        <v/>
      </c>
      <c r="T36" s="141" t="str">
        <f t="shared" si="1"/>
        <v/>
      </c>
      <c r="U36" s="191" t="str">
        <f t="shared" si="4"/>
        <v/>
      </c>
      <c r="V36" s="163" t="str">
        <f t="shared" si="5"/>
        <v/>
      </c>
      <c r="W36" s="155"/>
      <c r="X36" s="155"/>
      <c r="Y36" s="156"/>
      <c r="Z36" s="155"/>
    </row>
    <row r="37" spans="1:26" ht="15" customHeight="1" x14ac:dyDescent="0.25">
      <c r="A37" s="107" t="str">
        <f t="shared" si="0"/>
        <v/>
      </c>
      <c r="B37" s="66"/>
      <c r="C37" s="128"/>
      <c r="D37" s="152"/>
      <c r="E37" s="153"/>
      <c r="F37" s="152"/>
      <c r="G37" s="153"/>
      <c r="H37" s="153"/>
      <c r="I37" s="152"/>
      <c r="J37" s="192"/>
      <c r="K37" s="69"/>
      <c r="L37" s="152"/>
      <c r="M37" s="152"/>
      <c r="N37" s="152"/>
      <c r="O37" s="152"/>
      <c r="P37" s="152"/>
      <c r="Q37" s="154"/>
      <c r="R37" s="139" t="str">
        <f t="shared" si="2"/>
        <v/>
      </c>
      <c r="S37" s="140" t="str">
        <f t="shared" si="3"/>
        <v/>
      </c>
      <c r="T37" s="141" t="str">
        <f t="shared" si="1"/>
        <v/>
      </c>
      <c r="U37" s="191" t="str">
        <f t="shared" si="4"/>
        <v/>
      </c>
      <c r="V37" s="163" t="str">
        <f t="shared" si="5"/>
        <v/>
      </c>
      <c r="W37" s="155"/>
      <c r="X37" s="155"/>
      <c r="Y37" s="156"/>
      <c r="Z37" s="155"/>
    </row>
    <row r="38" spans="1:26" ht="15" customHeight="1" x14ac:dyDescent="0.25">
      <c r="A38" s="107" t="str">
        <f t="shared" si="0"/>
        <v/>
      </c>
      <c r="B38" s="66"/>
      <c r="C38" s="128"/>
      <c r="D38" s="152"/>
      <c r="E38" s="153"/>
      <c r="F38" s="152"/>
      <c r="G38" s="153"/>
      <c r="H38" s="153"/>
      <c r="I38" s="152"/>
      <c r="J38" s="69"/>
      <c r="K38" s="69"/>
      <c r="L38" s="152"/>
      <c r="M38" s="152"/>
      <c r="N38" s="152"/>
      <c r="O38" s="152"/>
      <c r="P38" s="152"/>
      <c r="Q38" s="154"/>
      <c r="R38" s="139" t="str">
        <f t="shared" si="2"/>
        <v/>
      </c>
      <c r="S38" s="140" t="str">
        <f t="shared" si="3"/>
        <v/>
      </c>
      <c r="T38" s="141" t="str">
        <f t="shared" si="1"/>
        <v/>
      </c>
      <c r="U38" s="191" t="str">
        <f t="shared" si="4"/>
        <v/>
      </c>
      <c r="V38" s="163" t="str">
        <f t="shared" si="5"/>
        <v/>
      </c>
      <c r="W38" s="155"/>
      <c r="X38" s="155"/>
      <c r="Y38" s="156"/>
      <c r="Z38" s="155"/>
    </row>
    <row r="39" spans="1:26" ht="15" customHeight="1" x14ac:dyDescent="0.25">
      <c r="A39" s="107" t="str">
        <f t="shared" si="0"/>
        <v/>
      </c>
      <c r="B39" s="66"/>
      <c r="C39" s="128"/>
      <c r="D39" s="152"/>
      <c r="E39" s="153"/>
      <c r="F39" s="152"/>
      <c r="G39" s="153"/>
      <c r="H39" s="153"/>
      <c r="I39" s="152"/>
      <c r="J39" s="192"/>
      <c r="K39" s="69"/>
      <c r="L39" s="152"/>
      <c r="M39" s="152"/>
      <c r="N39" s="152"/>
      <c r="O39" s="152"/>
      <c r="P39" s="152"/>
      <c r="Q39" s="154"/>
      <c r="R39" s="139" t="str">
        <f t="shared" si="2"/>
        <v/>
      </c>
      <c r="S39" s="140" t="str">
        <f t="shared" si="3"/>
        <v/>
      </c>
      <c r="T39" s="141" t="str">
        <f t="shared" si="1"/>
        <v/>
      </c>
      <c r="U39" s="191" t="str">
        <f t="shared" si="4"/>
        <v/>
      </c>
      <c r="V39" s="163" t="str">
        <f t="shared" si="5"/>
        <v/>
      </c>
      <c r="W39" s="155"/>
      <c r="X39" s="155"/>
      <c r="Y39" s="156"/>
      <c r="Z39" s="155"/>
    </row>
    <row r="40" spans="1:26" ht="15" customHeight="1" x14ac:dyDescent="0.25">
      <c r="A40" s="107" t="str">
        <f t="shared" si="0"/>
        <v/>
      </c>
      <c r="B40" s="66"/>
      <c r="C40" s="128"/>
      <c r="D40" s="152"/>
      <c r="E40" s="153"/>
      <c r="F40" s="152"/>
      <c r="G40" s="153"/>
      <c r="H40" s="153"/>
      <c r="I40" s="152"/>
      <c r="J40" s="69"/>
      <c r="K40" s="69"/>
      <c r="L40" s="152"/>
      <c r="M40" s="152"/>
      <c r="N40" s="152"/>
      <c r="O40" s="152"/>
      <c r="P40" s="152"/>
      <c r="Q40" s="154"/>
      <c r="R40" s="139" t="str">
        <f t="shared" si="2"/>
        <v/>
      </c>
      <c r="S40" s="140" t="str">
        <f t="shared" si="3"/>
        <v/>
      </c>
      <c r="T40" s="141" t="str">
        <f t="shared" si="1"/>
        <v/>
      </c>
      <c r="U40" s="191" t="str">
        <f t="shared" si="4"/>
        <v/>
      </c>
      <c r="V40" s="163" t="str">
        <f t="shared" si="5"/>
        <v/>
      </c>
      <c r="W40" s="155"/>
      <c r="X40" s="155"/>
      <c r="Y40" s="156"/>
      <c r="Z40" s="155"/>
    </row>
    <row r="41" spans="1:26" ht="15" customHeight="1" x14ac:dyDescent="0.25">
      <c r="A41" s="107" t="str">
        <f t="shared" si="0"/>
        <v/>
      </c>
      <c r="B41" s="66"/>
      <c r="C41" s="128"/>
      <c r="D41" s="152"/>
      <c r="E41" s="153"/>
      <c r="F41" s="152"/>
      <c r="G41" s="153"/>
      <c r="H41" s="153"/>
      <c r="I41" s="152"/>
      <c r="J41" s="69"/>
      <c r="K41" s="69"/>
      <c r="L41" s="152"/>
      <c r="M41" s="152"/>
      <c r="N41" s="152"/>
      <c r="O41" s="152"/>
      <c r="P41" s="152"/>
      <c r="Q41" s="154"/>
      <c r="R41" s="139" t="str">
        <f t="shared" si="2"/>
        <v/>
      </c>
      <c r="S41" s="140" t="str">
        <f t="shared" si="3"/>
        <v/>
      </c>
      <c r="T41" s="141" t="str">
        <f t="shared" si="1"/>
        <v/>
      </c>
      <c r="U41" s="191" t="str">
        <f t="shared" si="4"/>
        <v/>
      </c>
      <c r="V41" s="163" t="str">
        <f t="shared" si="5"/>
        <v/>
      </c>
      <c r="W41" s="155"/>
      <c r="X41" s="155"/>
      <c r="Y41" s="156"/>
      <c r="Z41" s="155"/>
    </row>
    <row r="42" spans="1:26" ht="15" customHeight="1" x14ac:dyDescent="0.25">
      <c r="A42" s="107" t="str">
        <f t="shared" si="0"/>
        <v/>
      </c>
      <c r="B42" s="66"/>
      <c r="C42" s="128"/>
      <c r="D42" s="152"/>
      <c r="E42" s="153"/>
      <c r="F42" s="152"/>
      <c r="G42" s="153"/>
      <c r="H42" s="153"/>
      <c r="I42" s="152"/>
      <c r="J42" s="69"/>
      <c r="K42" s="69"/>
      <c r="L42" s="152"/>
      <c r="M42" s="152"/>
      <c r="N42" s="152"/>
      <c r="O42" s="152"/>
      <c r="P42" s="152"/>
      <c r="Q42" s="154"/>
      <c r="R42" s="139" t="str">
        <f t="shared" si="2"/>
        <v/>
      </c>
      <c r="S42" s="140" t="str">
        <f t="shared" si="3"/>
        <v/>
      </c>
      <c r="T42" s="141" t="str">
        <f t="shared" si="1"/>
        <v/>
      </c>
      <c r="U42" s="191" t="str">
        <f t="shared" si="4"/>
        <v/>
      </c>
      <c r="V42" s="163" t="str">
        <f t="shared" si="5"/>
        <v/>
      </c>
      <c r="W42" s="155"/>
      <c r="X42" s="155"/>
      <c r="Y42" s="156"/>
      <c r="Z42" s="155"/>
    </row>
    <row r="43" spans="1:26" ht="15" customHeight="1" x14ac:dyDescent="0.25">
      <c r="A43" s="107" t="str">
        <f t="shared" si="0"/>
        <v/>
      </c>
      <c r="B43" s="66"/>
      <c r="C43" s="128"/>
      <c r="D43" s="152"/>
      <c r="E43" s="153"/>
      <c r="F43" s="152"/>
      <c r="G43" s="153"/>
      <c r="H43" s="153"/>
      <c r="I43" s="152"/>
      <c r="J43" s="69"/>
      <c r="K43" s="69"/>
      <c r="L43" s="152"/>
      <c r="M43" s="152"/>
      <c r="N43" s="152"/>
      <c r="O43" s="152"/>
      <c r="P43" s="152"/>
      <c r="Q43" s="154"/>
      <c r="R43" s="139" t="str">
        <f t="shared" si="2"/>
        <v/>
      </c>
      <c r="S43" s="140" t="str">
        <f t="shared" si="3"/>
        <v/>
      </c>
      <c r="T43" s="141" t="str">
        <f t="shared" si="1"/>
        <v/>
      </c>
      <c r="U43" s="191" t="str">
        <f t="shared" si="4"/>
        <v/>
      </c>
      <c r="V43" s="163" t="str">
        <f t="shared" si="5"/>
        <v/>
      </c>
      <c r="W43" s="155"/>
      <c r="X43" s="155"/>
      <c r="Y43" s="156"/>
      <c r="Z43" s="155"/>
    </row>
    <row r="44" spans="1:26" ht="15" customHeight="1" x14ac:dyDescent="0.25">
      <c r="A44" s="107" t="str">
        <f t="shared" si="0"/>
        <v/>
      </c>
      <c r="B44" s="66"/>
      <c r="C44" s="128"/>
      <c r="D44" s="152"/>
      <c r="E44" s="153"/>
      <c r="F44" s="152"/>
      <c r="G44" s="153"/>
      <c r="H44" s="153"/>
      <c r="I44" s="152"/>
      <c r="J44" s="69"/>
      <c r="K44" s="69"/>
      <c r="L44" s="152"/>
      <c r="M44" s="152"/>
      <c r="N44" s="152"/>
      <c r="O44" s="152"/>
      <c r="P44" s="152"/>
      <c r="Q44" s="154"/>
      <c r="R44" s="139" t="str">
        <f t="shared" si="2"/>
        <v/>
      </c>
      <c r="S44" s="140" t="str">
        <f t="shared" si="3"/>
        <v/>
      </c>
      <c r="T44" s="141" t="str">
        <f t="shared" si="1"/>
        <v/>
      </c>
      <c r="U44" s="191" t="str">
        <f t="shared" si="4"/>
        <v/>
      </c>
      <c r="V44" s="163" t="str">
        <f t="shared" si="5"/>
        <v/>
      </c>
      <c r="W44" s="155"/>
      <c r="X44" s="155"/>
      <c r="Y44" s="156"/>
      <c r="Z44" s="155"/>
    </row>
    <row r="45" spans="1:26" ht="15" customHeight="1" x14ac:dyDescent="0.25">
      <c r="A45" s="107" t="str">
        <f t="shared" si="0"/>
        <v/>
      </c>
      <c r="B45" s="66"/>
      <c r="C45" s="128"/>
      <c r="D45" s="152"/>
      <c r="E45" s="153"/>
      <c r="F45" s="152"/>
      <c r="G45" s="153"/>
      <c r="H45" s="153"/>
      <c r="I45" s="152"/>
      <c r="J45" s="69"/>
      <c r="K45" s="69"/>
      <c r="L45" s="152"/>
      <c r="M45" s="152"/>
      <c r="N45" s="152"/>
      <c r="O45" s="152"/>
      <c r="P45" s="152"/>
      <c r="Q45" s="154"/>
      <c r="R45" s="139" t="str">
        <f t="shared" si="2"/>
        <v/>
      </c>
      <c r="S45" s="140" t="str">
        <f t="shared" si="3"/>
        <v/>
      </c>
      <c r="T45" s="141" t="str">
        <f t="shared" si="1"/>
        <v/>
      </c>
      <c r="U45" s="191" t="str">
        <f t="shared" si="4"/>
        <v/>
      </c>
      <c r="V45" s="163" t="str">
        <f t="shared" si="5"/>
        <v/>
      </c>
      <c r="W45" s="155"/>
      <c r="X45" s="155"/>
      <c r="Y45" s="156"/>
      <c r="Z45" s="155"/>
    </row>
    <row r="46" spans="1:26" ht="15" customHeight="1" x14ac:dyDescent="0.25">
      <c r="A46" s="107" t="str">
        <f t="shared" si="0"/>
        <v/>
      </c>
      <c r="B46" s="66"/>
      <c r="C46" s="128"/>
      <c r="D46" s="152"/>
      <c r="E46" s="153"/>
      <c r="F46" s="152"/>
      <c r="G46" s="153"/>
      <c r="H46" s="153"/>
      <c r="I46" s="152"/>
      <c r="J46" s="69"/>
      <c r="K46" s="69"/>
      <c r="L46" s="152"/>
      <c r="M46" s="152"/>
      <c r="N46" s="152"/>
      <c r="O46" s="152"/>
      <c r="P46" s="152"/>
      <c r="Q46" s="154"/>
      <c r="R46" s="139" t="str">
        <f t="shared" si="2"/>
        <v/>
      </c>
      <c r="S46" s="140" t="str">
        <f t="shared" si="3"/>
        <v/>
      </c>
      <c r="T46" s="141" t="str">
        <f t="shared" si="1"/>
        <v/>
      </c>
      <c r="U46" s="191" t="str">
        <f t="shared" si="4"/>
        <v/>
      </c>
      <c r="V46" s="163" t="str">
        <f t="shared" si="5"/>
        <v/>
      </c>
      <c r="W46" s="155"/>
      <c r="X46" s="155"/>
      <c r="Y46" s="156"/>
      <c r="Z46" s="155"/>
    </row>
    <row r="47" spans="1:26" ht="15" customHeight="1" x14ac:dyDescent="0.25">
      <c r="A47" s="107" t="str">
        <f t="shared" si="0"/>
        <v/>
      </c>
      <c r="B47" s="66"/>
      <c r="C47" s="128"/>
      <c r="D47" s="152"/>
      <c r="E47" s="153"/>
      <c r="F47" s="152"/>
      <c r="G47" s="153"/>
      <c r="H47" s="153"/>
      <c r="I47" s="152"/>
      <c r="J47" s="69"/>
      <c r="K47" s="69"/>
      <c r="L47" s="152"/>
      <c r="M47" s="152"/>
      <c r="N47" s="152"/>
      <c r="O47" s="152"/>
      <c r="P47" s="152"/>
      <c r="Q47" s="154"/>
      <c r="R47" s="139" t="str">
        <f t="shared" si="2"/>
        <v/>
      </c>
      <c r="S47" s="140" t="str">
        <f t="shared" si="3"/>
        <v/>
      </c>
      <c r="T47" s="141" t="str">
        <f t="shared" si="1"/>
        <v/>
      </c>
      <c r="U47" s="191" t="str">
        <f t="shared" si="4"/>
        <v/>
      </c>
      <c r="V47" s="163" t="str">
        <f t="shared" si="5"/>
        <v/>
      </c>
      <c r="W47" s="155"/>
      <c r="X47" s="155"/>
      <c r="Y47" s="156"/>
      <c r="Z47" s="155"/>
    </row>
    <row r="48" spans="1:26" ht="15" customHeight="1" x14ac:dyDescent="0.25">
      <c r="A48" s="107" t="str">
        <f t="shared" si="0"/>
        <v/>
      </c>
      <c r="B48" s="66"/>
      <c r="C48" s="128"/>
      <c r="D48" s="152"/>
      <c r="E48" s="153"/>
      <c r="F48" s="152"/>
      <c r="G48" s="153"/>
      <c r="H48" s="153"/>
      <c r="I48" s="152"/>
      <c r="J48" s="69"/>
      <c r="K48" s="69"/>
      <c r="L48" s="152"/>
      <c r="M48" s="152"/>
      <c r="N48" s="152"/>
      <c r="O48" s="152"/>
      <c r="P48" s="152"/>
      <c r="Q48" s="154"/>
      <c r="R48" s="139" t="str">
        <f t="shared" si="2"/>
        <v/>
      </c>
      <c r="S48" s="140" t="str">
        <f t="shared" si="3"/>
        <v/>
      </c>
      <c r="T48" s="141" t="str">
        <f t="shared" si="1"/>
        <v/>
      </c>
      <c r="U48" s="191" t="str">
        <f t="shared" si="4"/>
        <v/>
      </c>
      <c r="V48" s="163" t="str">
        <f t="shared" si="5"/>
        <v/>
      </c>
      <c r="W48" s="155"/>
      <c r="X48" s="155"/>
      <c r="Y48" s="156"/>
      <c r="Z48" s="155"/>
    </row>
    <row r="49" spans="1:26" ht="15" customHeight="1" x14ac:dyDescent="0.25">
      <c r="A49" s="107" t="str">
        <f t="shared" si="0"/>
        <v/>
      </c>
      <c r="B49" s="66"/>
      <c r="C49" s="128"/>
      <c r="D49" s="152"/>
      <c r="E49" s="153"/>
      <c r="F49" s="152"/>
      <c r="G49" s="153"/>
      <c r="H49" s="153"/>
      <c r="I49" s="152"/>
      <c r="J49" s="69"/>
      <c r="K49" s="69"/>
      <c r="L49" s="152"/>
      <c r="M49" s="152"/>
      <c r="N49" s="152"/>
      <c r="O49" s="152"/>
      <c r="P49" s="152"/>
      <c r="Q49" s="154"/>
      <c r="R49" s="139" t="str">
        <f t="shared" si="2"/>
        <v/>
      </c>
      <c r="S49" s="140" t="str">
        <f t="shared" si="3"/>
        <v/>
      </c>
      <c r="T49" s="141" t="str">
        <f t="shared" si="1"/>
        <v/>
      </c>
      <c r="U49" s="191" t="str">
        <f t="shared" si="4"/>
        <v/>
      </c>
      <c r="V49" s="163" t="str">
        <f t="shared" si="5"/>
        <v/>
      </c>
      <c r="W49" s="155"/>
      <c r="X49" s="155"/>
      <c r="Y49" s="156"/>
      <c r="Z49" s="155"/>
    </row>
    <row r="50" spans="1:26" ht="15" customHeight="1" x14ac:dyDescent="0.25">
      <c r="A50" s="107" t="str">
        <f t="shared" si="0"/>
        <v/>
      </c>
      <c r="B50" s="66"/>
      <c r="C50" s="128"/>
      <c r="D50" s="152"/>
      <c r="E50" s="153"/>
      <c r="F50" s="152"/>
      <c r="G50" s="153"/>
      <c r="H50" s="153"/>
      <c r="I50" s="152"/>
      <c r="J50" s="69"/>
      <c r="K50" s="69"/>
      <c r="L50" s="152"/>
      <c r="M50" s="152"/>
      <c r="N50" s="152"/>
      <c r="O50" s="152"/>
      <c r="P50" s="152"/>
      <c r="Q50" s="154"/>
      <c r="R50" s="139" t="str">
        <f t="shared" si="2"/>
        <v/>
      </c>
      <c r="S50" s="140" t="str">
        <f t="shared" si="3"/>
        <v/>
      </c>
      <c r="T50" s="141" t="str">
        <f t="shared" si="1"/>
        <v/>
      </c>
      <c r="U50" s="191" t="str">
        <f t="shared" si="4"/>
        <v/>
      </c>
      <c r="V50" s="163" t="str">
        <f t="shared" si="5"/>
        <v/>
      </c>
      <c r="W50" s="155"/>
      <c r="X50" s="155"/>
      <c r="Y50" s="156"/>
      <c r="Z50" s="155"/>
    </row>
    <row r="51" spans="1:26" ht="15" customHeight="1" x14ac:dyDescent="0.25">
      <c r="A51" s="107" t="str">
        <f t="shared" si="0"/>
        <v/>
      </c>
      <c r="B51" s="66"/>
      <c r="C51" s="128"/>
      <c r="D51" s="152"/>
      <c r="E51" s="153"/>
      <c r="F51" s="152"/>
      <c r="G51" s="153"/>
      <c r="H51" s="153"/>
      <c r="I51" s="152"/>
      <c r="J51" s="69"/>
      <c r="K51" s="69"/>
      <c r="L51" s="152"/>
      <c r="M51" s="152"/>
      <c r="N51" s="152"/>
      <c r="O51" s="152"/>
      <c r="P51" s="152"/>
      <c r="Q51" s="154"/>
      <c r="R51" s="139" t="str">
        <f t="shared" si="2"/>
        <v/>
      </c>
      <c r="S51" s="140" t="str">
        <f t="shared" si="3"/>
        <v/>
      </c>
      <c r="T51" s="141" t="str">
        <f t="shared" si="1"/>
        <v/>
      </c>
      <c r="U51" s="191" t="str">
        <f t="shared" si="4"/>
        <v/>
      </c>
      <c r="V51" s="163" t="str">
        <f t="shared" si="5"/>
        <v/>
      </c>
      <c r="W51" s="155"/>
      <c r="X51" s="155"/>
      <c r="Y51" s="156"/>
      <c r="Z51" s="155"/>
    </row>
    <row r="52" spans="1:26" ht="15" customHeight="1" x14ac:dyDescent="0.25">
      <c r="A52" s="107" t="str">
        <f t="shared" si="0"/>
        <v/>
      </c>
      <c r="B52" s="66"/>
      <c r="C52" s="128"/>
      <c r="D52" s="152"/>
      <c r="E52" s="153"/>
      <c r="F52" s="152"/>
      <c r="G52" s="153"/>
      <c r="H52" s="153"/>
      <c r="I52" s="152"/>
      <c r="J52" s="69"/>
      <c r="K52" s="69"/>
      <c r="L52" s="152"/>
      <c r="M52" s="152"/>
      <c r="N52" s="152"/>
      <c r="O52" s="152"/>
      <c r="P52" s="152"/>
      <c r="Q52" s="154"/>
      <c r="R52" s="139" t="str">
        <f t="shared" si="2"/>
        <v/>
      </c>
      <c r="S52" s="140" t="str">
        <f t="shared" si="3"/>
        <v/>
      </c>
      <c r="T52" s="141" t="str">
        <f t="shared" si="1"/>
        <v/>
      </c>
      <c r="U52" s="191" t="str">
        <f t="shared" si="4"/>
        <v/>
      </c>
      <c r="V52" s="163" t="str">
        <f t="shared" si="5"/>
        <v/>
      </c>
      <c r="W52" s="155"/>
      <c r="X52" s="155"/>
      <c r="Y52" s="156"/>
      <c r="Z52" s="155"/>
    </row>
    <row r="53" spans="1:26" ht="15" customHeight="1" x14ac:dyDescent="0.25">
      <c r="A53" s="107" t="str">
        <f t="shared" si="0"/>
        <v/>
      </c>
      <c r="B53" s="66"/>
      <c r="C53" s="128"/>
      <c r="D53" s="152"/>
      <c r="E53" s="153"/>
      <c r="F53" s="152"/>
      <c r="G53" s="153"/>
      <c r="H53" s="153"/>
      <c r="I53" s="152"/>
      <c r="J53" s="192"/>
      <c r="K53" s="69"/>
      <c r="L53" s="152"/>
      <c r="M53" s="152"/>
      <c r="N53" s="152"/>
      <c r="O53" s="152"/>
      <c r="P53" s="152"/>
      <c r="Q53" s="154"/>
      <c r="R53" s="139" t="str">
        <f t="shared" si="2"/>
        <v/>
      </c>
      <c r="S53" s="140" t="str">
        <f t="shared" si="3"/>
        <v/>
      </c>
      <c r="T53" s="141" t="str">
        <f t="shared" si="1"/>
        <v/>
      </c>
      <c r="U53" s="191" t="str">
        <f t="shared" si="4"/>
        <v/>
      </c>
      <c r="V53" s="163" t="str">
        <f t="shared" si="5"/>
        <v/>
      </c>
      <c r="W53" s="155"/>
      <c r="X53" s="155"/>
      <c r="Y53" s="156"/>
      <c r="Z53" s="155"/>
    </row>
    <row r="54" spans="1:26" ht="15" customHeight="1" x14ac:dyDescent="0.25">
      <c r="A54" s="107" t="str">
        <f t="shared" si="0"/>
        <v/>
      </c>
      <c r="B54" s="66"/>
      <c r="C54" s="128"/>
      <c r="D54" s="152"/>
      <c r="E54" s="153"/>
      <c r="F54" s="152"/>
      <c r="G54" s="153"/>
      <c r="H54" s="153"/>
      <c r="I54" s="152"/>
      <c r="J54" s="192"/>
      <c r="K54" s="69"/>
      <c r="L54" s="152"/>
      <c r="M54" s="152"/>
      <c r="N54" s="152"/>
      <c r="O54" s="152"/>
      <c r="P54" s="152"/>
      <c r="Q54" s="154"/>
      <c r="R54" s="139" t="str">
        <f t="shared" si="2"/>
        <v/>
      </c>
      <c r="S54" s="140" t="str">
        <f t="shared" si="3"/>
        <v/>
      </c>
      <c r="T54" s="141" t="str">
        <f t="shared" si="1"/>
        <v/>
      </c>
      <c r="U54" s="191" t="str">
        <f t="shared" si="4"/>
        <v/>
      </c>
      <c r="V54" s="163" t="str">
        <f t="shared" si="5"/>
        <v/>
      </c>
      <c r="W54" s="155"/>
      <c r="X54" s="155"/>
      <c r="Y54" s="156"/>
      <c r="Z54" s="155"/>
    </row>
    <row r="55" spans="1:26" ht="15" customHeight="1" x14ac:dyDescent="0.25">
      <c r="A55" s="107" t="str">
        <f t="shared" si="0"/>
        <v/>
      </c>
      <c r="B55" s="66"/>
      <c r="C55" s="128"/>
      <c r="D55" s="152"/>
      <c r="E55" s="153"/>
      <c r="F55" s="152"/>
      <c r="G55" s="153"/>
      <c r="H55" s="153"/>
      <c r="I55" s="152"/>
      <c r="J55" s="192"/>
      <c r="K55" s="69"/>
      <c r="L55" s="152"/>
      <c r="M55" s="152"/>
      <c r="N55" s="152"/>
      <c r="O55" s="152"/>
      <c r="P55" s="152"/>
      <c r="Q55" s="154"/>
      <c r="R55" s="139" t="str">
        <f t="shared" si="2"/>
        <v/>
      </c>
      <c r="S55" s="140" t="str">
        <f t="shared" si="3"/>
        <v/>
      </c>
      <c r="T55" s="141" t="str">
        <f t="shared" si="1"/>
        <v/>
      </c>
      <c r="U55" s="191" t="str">
        <f t="shared" si="4"/>
        <v/>
      </c>
      <c r="V55" s="163" t="str">
        <f t="shared" si="5"/>
        <v/>
      </c>
      <c r="W55" s="155"/>
      <c r="X55" s="155"/>
      <c r="Y55" s="156"/>
      <c r="Z55" s="155"/>
    </row>
    <row r="56" spans="1:26" ht="15" customHeight="1" x14ac:dyDescent="0.25">
      <c r="A56" s="107" t="str">
        <f t="shared" si="0"/>
        <v/>
      </c>
      <c r="B56" s="66"/>
      <c r="C56" s="128"/>
      <c r="D56" s="152"/>
      <c r="E56" s="153"/>
      <c r="F56" s="152"/>
      <c r="G56" s="153"/>
      <c r="H56" s="153"/>
      <c r="I56" s="152"/>
      <c r="J56" s="69"/>
      <c r="K56" s="69"/>
      <c r="L56" s="152"/>
      <c r="M56" s="152"/>
      <c r="N56" s="152"/>
      <c r="O56" s="152"/>
      <c r="P56" s="152"/>
      <c r="Q56" s="154"/>
      <c r="R56" s="139" t="str">
        <f t="shared" si="2"/>
        <v/>
      </c>
      <c r="S56" s="140" t="str">
        <f t="shared" si="3"/>
        <v/>
      </c>
      <c r="T56" s="141" t="str">
        <f t="shared" si="1"/>
        <v/>
      </c>
      <c r="U56" s="191" t="str">
        <f t="shared" si="4"/>
        <v/>
      </c>
      <c r="V56" s="163" t="str">
        <f t="shared" si="5"/>
        <v/>
      </c>
      <c r="W56" s="155"/>
      <c r="X56" s="155"/>
      <c r="Y56" s="156"/>
      <c r="Z56" s="155"/>
    </row>
    <row r="57" spans="1:26" ht="15" customHeight="1" x14ac:dyDescent="0.25">
      <c r="A57" s="107" t="str">
        <f t="shared" si="0"/>
        <v/>
      </c>
      <c r="B57" s="66"/>
      <c r="C57" s="128"/>
      <c r="D57" s="152"/>
      <c r="E57" s="153"/>
      <c r="F57" s="152"/>
      <c r="G57" s="153"/>
      <c r="H57" s="153"/>
      <c r="I57" s="152"/>
      <c r="J57" s="192"/>
      <c r="K57" s="69"/>
      <c r="L57" s="152"/>
      <c r="M57" s="152"/>
      <c r="N57" s="152"/>
      <c r="O57" s="152"/>
      <c r="P57" s="152"/>
      <c r="Q57" s="154"/>
      <c r="R57" s="139" t="str">
        <f t="shared" si="2"/>
        <v/>
      </c>
      <c r="S57" s="140" t="str">
        <f t="shared" si="3"/>
        <v/>
      </c>
      <c r="T57" s="141" t="str">
        <f t="shared" si="1"/>
        <v/>
      </c>
      <c r="U57" s="191" t="str">
        <f t="shared" si="4"/>
        <v/>
      </c>
      <c r="V57" s="163" t="str">
        <f t="shared" si="5"/>
        <v/>
      </c>
      <c r="W57" s="155"/>
      <c r="X57" s="155"/>
      <c r="Y57" s="156"/>
      <c r="Z57" s="155"/>
    </row>
    <row r="58" spans="1:26" ht="15" customHeight="1" x14ac:dyDescent="0.25">
      <c r="A58" s="107" t="str">
        <f t="shared" si="0"/>
        <v/>
      </c>
      <c r="B58" s="66"/>
      <c r="C58" s="128"/>
      <c r="D58" s="152"/>
      <c r="E58" s="153"/>
      <c r="F58" s="152"/>
      <c r="G58" s="153"/>
      <c r="H58" s="153"/>
      <c r="I58" s="152"/>
      <c r="J58" s="69"/>
      <c r="K58" s="69"/>
      <c r="L58" s="152"/>
      <c r="M58" s="152"/>
      <c r="N58" s="152"/>
      <c r="O58" s="152"/>
      <c r="P58" s="152"/>
      <c r="Q58" s="154"/>
      <c r="R58" s="139" t="str">
        <f t="shared" si="2"/>
        <v/>
      </c>
      <c r="S58" s="140" t="str">
        <f t="shared" si="3"/>
        <v/>
      </c>
      <c r="T58" s="141" t="str">
        <f t="shared" si="1"/>
        <v/>
      </c>
      <c r="U58" s="191" t="str">
        <f t="shared" si="4"/>
        <v/>
      </c>
      <c r="V58" s="163" t="str">
        <f t="shared" si="5"/>
        <v/>
      </c>
      <c r="W58" s="155"/>
      <c r="X58" s="155"/>
      <c r="Y58" s="156"/>
      <c r="Z58" s="155"/>
    </row>
    <row r="59" spans="1:26" ht="15" customHeight="1" x14ac:dyDescent="0.25">
      <c r="A59" s="107" t="str">
        <f t="shared" si="0"/>
        <v/>
      </c>
      <c r="B59" s="66"/>
      <c r="C59" s="128"/>
      <c r="D59" s="152"/>
      <c r="E59" s="153"/>
      <c r="F59" s="152"/>
      <c r="G59" s="153"/>
      <c r="H59" s="153"/>
      <c r="I59" s="152"/>
      <c r="J59" s="69"/>
      <c r="K59" s="69"/>
      <c r="L59" s="152"/>
      <c r="M59" s="152"/>
      <c r="N59" s="152"/>
      <c r="O59" s="152"/>
      <c r="P59" s="152"/>
      <c r="Q59" s="154"/>
      <c r="R59" s="139" t="str">
        <f t="shared" si="2"/>
        <v/>
      </c>
      <c r="S59" s="140" t="str">
        <f t="shared" si="3"/>
        <v/>
      </c>
      <c r="T59" s="141" t="str">
        <f t="shared" si="1"/>
        <v/>
      </c>
      <c r="U59" s="191" t="str">
        <f t="shared" si="4"/>
        <v/>
      </c>
      <c r="V59" s="163" t="str">
        <f t="shared" si="5"/>
        <v/>
      </c>
      <c r="W59" s="155"/>
      <c r="X59" s="155"/>
      <c r="Y59" s="156"/>
      <c r="Z59" s="155"/>
    </row>
    <row r="60" spans="1:26" ht="15" customHeight="1" x14ac:dyDescent="0.25">
      <c r="A60" s="107" t="str">
        <f t="shared" si="0"/>
        <v/>
      </c>
      <c r="B60" s="66"/>
      <c r="C60" s="128"/>
      <c r="D60" s="152"/>
      <c r="E60" s="153"/>
      <c r="F60" s="152"/>
      <c r="G60" s="153"/>
      <c r="H60" s="153"/>
      <c r="I60" s="152"/>
      <c r="J60" s="69"/>
      <c r="K60" s="69"/>
      <c r="L60" s="152"/>
      <c r="M60" s="152"/>
      <c r="N60" s="152"/>
      <c r="O60" s="152"/>
      <c r="P60" s="152"/>
      <c r="Q60" s="154"/>
      <c r="R60" s="139" t="str">
        <f t="shared" si="2"/>
        <v/>
      </c>
      <c r="S60" s="140" t="str">
        <f t="shared" si="3"/>
        <v/>
      </c>
      <c r="T60" s="141" t="str">
        <f t="shared" si="1"/>
        <v/>
      </c>
      <c r="U60" s="191" t="str">
        <f t="shared" si="4"/>
        <v/>
      </c>
      <c r="V60" s="163" t="str">
        <f t="shared" si="5"/>
        <v/>
      </c>
      <c r="W60" s="155"/>
      <c r="X60" s="155"/>
      <c r="Y60" s="156"/>
      <c r="Z60" s="155"/>
    </row>
    <row r="61" spans="1:26" ht="15" customHeight="1" x14ac:dyDescent="0.25">
      <c r="A61" s="107" t="str">
        <f t="shared" si="0"/>
        <v/>
      </c>
      <c r="B61" s="66"/>
      <c r="C61" s="128"/>
      <c r="D61" s="152"/>
      <c r="E61" s="153"/>
      <c r="F61" s="152"/>
      <c r="G61" s="153"/>
      <c r="H61" s="153"/>
      <c r="I61" s="152"/>
      <c r="J61" s="69"/>
      <c r="K61" s="69"/>
      <c r="L61" s="152"/>
      <c r="M61" s="152"/>
      <c r="N61" s="152"/>
      <c r="O61" s="152"/>
      <c r="P61" s="152"/>
      <c r="Q61" s="154"/>
      <c r="R61" s="139" t="str">
        <f t="shared" si="2"/>
        <v/>
      </c>
      <c r="S61" s="140" t="str">
        <f t="shared" si="3"/>
        <v/>
      </c>
      <c r="T61" s="141" t="str">
        <f t="shared" si="1"/>
        <v/>
      </c>
      <c r="U61" s="191" t="str">
        <f t="shared" si="4"/>
        <v/>
      </c>
      <c r="V61" s="163" t="str">
        <f t="shared" si="5"/>
        <v/>
      </c>
      <c r="W61" s="155"/>
      <c r="X61" s="155"/>
      <c r="Y61" s="156"/>
      <c r="Z61" s="155"/>
    </row>
    <row r="62" spans="1:26" ht="15" customHeight="1" x14ac:dyDescent="0.25">
      <c r="A62" s="107" t="str">
        <f t="shared" si="0"/>
        <v/>
      </c>
      <c r="B62" s="66"/>
      <c r="C62" s="128"/>
      <c r="D62" s="152"/>
      <c r="E62" s="153"/>
      <c r="F62" s="152"/>
      <c r="G62" s="153"/>
      <c r="H62" s="153"/>
      <c r="I62" s="152"/>
      <c r="J62" s="69"/>
      <c r="K62" s="69"/>
      <c r="L62" s="152"/>
      <c r="M62" s="152"/>
      <c r="N62" s="152"/>
      <c r="O62" s="152"/>
      <c r="P62" s="152"/>
      <c r="Q62" s="154"/>
      <c r="R62" s="139" t="str">
        <f t="shared" si="2"/>
        <v/>
      </c>
      <c r="S62" s="140" t="str">
        <f t="shared" si="3"/>
        <v/>
      </c>
      <c r="T62" s="141" t="str">
        <f t="shared" si="1"/>
        <v/>
      </c>
      <c r="U62" s="191" t="str">
        <f t="shared" si="4"/>
        <v/>
      </c>
      <c r="V62" s="163" t="str">
        <f t="shared" si="5"/>
        <v/>
      </c>
      <c r="W62" s="155"/>
      <c r="X62" s="155"/>
      <c r="Y62" s="156"/>
      <c r="Z62" s="155"/>
    </row>
    <row r="63" spans="1:26" ht="15" customHeight="1" x14ac:dyDescent="0.25">
      <c r="A63" s="107" t="str">
        <f t="shared" si="0"/>
        <v/>
      </c>
      <c r="B63" s="66"/>
      <c r="C63" s="128"/>
      <c r="D63" s="152"/>
      <c r="E63" s="153"/>
      <c r="F63" s="152"/>
      <c r="G63" s="153"/>
      <c r="H63" s="153"/>
      <c r="I63" s="152"/>
      <c r="J63" s="69"/>
      <c r="K63" s="69"/>
      <c r="L63" s="152"/>
      <c r="M63" s="152"/>
      <c r="N63" s="152"/>
      <c r="O63" s="152"/>
      <c r="P63" s="152"/>
      <c r="Q63" s="154"/>
      <c r="R63" s="139" t="str">
        <f t="shared" si="2"/>
        <v/>
      </c>
      <c r="S63" s="140" t="str">
        <f t="shared" si="3"/>
        <v/>
      </c>
      <c r="T63" s="141" t="str">
        <f t="shared" si="1"/>
        <v/>
      </c>
      <c r="U63" s="191" t="str">
        <f t="shared" si="4"/>
        <v/>
      </c>
      <c r="V63" s="163" t="str">
        <f t="shared" si="5"/>
        <v/>
      </c>
      <c r="W63" s="155"/>
      <c r="X63" s="155"/>
      <c r="Y63" s="156"/>
      <c r="Z63" s="155"/>
    </row>
    <row r="64" spans="1:26" ht="15" customHeight="1" x14ac:dyDescent="0.25">
      <c r="A64" s="107" t="str">
        <f t="shared" si="0"/>
        <v/>
      </c>
      <c r="B64" s="66"/>
      <c r="C64" s="128"/>
      <c r="D64" s="152"/>
      <c r="E64" s="153"/>
      <c r="F64" s="152"/>
      <c r="G64" s="153"/>
      <c r="H64" s="153"/>
      <c r="I64" s="152"/>
      <c r="J64" s="192"/>
      <c r="K64" s="69"/>
      <c r="L64" s="152"/>
      <c r="M64" s="152"/>
      <c r="N64" s="152"/>
      <c r="O64" s="152"/>
      <c r="P64" s="152"/>
      <c r="Q64" s="154"/>
      <c r="R64" s="139" t="str">
        <f t="shared" si="2"/>
        <v/>
      </c>
      <c r="S64" s="140" t="str">
        <f t="shared" si="3"/>
        <v/>
      </c>
      <c r="T64" s="141" t="str">
        <f t="shared" si="1"/>
        <v/>
      </c>
      <c r="U64" s="191" t="str">
        <f t="shared" si="4"/>
        <v/>
      </c>
      <c r="V64" s="163" t="str">
        <f t="shared" si="5"/>
        <v/>
      </c>
      <c r="W64" s="155"/>
      <c r="X64" s="155"/>
      <c r="Y64" s="156"/>
      <c r="Z64" s="155"/>
    </row>
    <row r="65" spans="1:26" ht="15" customHeight="1" x14ac:dyDescent="0.25">
      <c r="A65" s="107" t="str">
        <f t="shared" si="0"/>
        <v/>
      </c>
      <c r="B65" s="66"/>
      <c r="C65" s="128"/>
      <c r="D65" s="152"/>
      <c r="E65" s="153"/>
      <c r="F65" s="152"/>
      <c r="G65" s="153"/>
      <c r="H65" s="153"/>
      <c r="I65" s="152"/>
      <c r="J65" s="69"/>
      <c r="K65" s="69"/>
      <c r="L65" s="152"/>
      <c r="M65" s="152"/>
      <c r="N65" s="152"/>
      <c r="O65" s="152"/>
      <c r="P65" s="152"/>
      <c r="Q65" s="154"/>
      <c r="R65" s="139" t="str">
        <f t="shared" si="2"/>
        <v/>
      </c>
      <c r="S65" s="140" t="str">
        <f t="shared" si="3"/>
        <v/>
      </c>
      <c r="T65" s="141" t="str">
        <f t="shared" si="1"/>
        <v/>
      </c>
      <c r="U65" s="191" t="str">
        <f t="shared" si="4"/>
        <v/>
      </c>
      <c r="V65" s="163" t="str">
        <f t="shared" si="5"/>
        <v/>
      </c>
      <c r="W65" s="155"/>
      <c r="X65" s="155"/>
      <c r="Y65" s="156"/>
      <c r="Z65" s="155"/>
    </row>
    <row r="66" spans="1:26" ht="15" customHeight="1" x14ac:dyDescent="0.25">
      <c r="A66" s="107" t="str">
        <f t="shared" si="0"/>
        <v/>
      </c>
      <c r="B66" s="66"/>
      <c r="C66" s="128"/>
      <c r="D66" s="152"/>
      <c r="E66" s="153"/>
      <c r="F66" s="152"/>
      <c r="G66" s="153"/>
      <c r="H66" s="153"/>
      <c r="I66" s="152"/>
      <c r="J66" s="192"/>
      <c r="K66" s="69"/>
      <c r="L66" s="152"/>
      <c r="M66" s="152"/>
      <c r="N66" s="152"/>
      <c r="O66" s="152"/>
      <c r="P66" s="152"/>
      <c r="Q66" s="154"/>
      <c r="R66" s="139" t="str">
        <f t="shared" si="2"/>
        <v/>
      </c>
      <c r="S66" s="140" t="str">
        <f t="shared" si="3"/>
        <v/>
      </c>
      <c r="T66" s="141" t="str">
        <f t="shared" si="1"/>
        <v/>
      </c>
      <c r="U66" s="191" t="str">
        <f t="shared" si="4"/>
        <v/>
      </c>
      <c r="V66" s="163" t="str">
        <f t="shared" si="5"/>
        <v/>
      </c>
      <c r="W66" s="155"/>
      <c r="X66" s="155"/>
      <c r="Y66" s="156"/>
      <c r="Z66" s="155"/>
    </row>
    <row r="67" spans="1:26" ht="15" customHeight="1" x14ac:dyDescent="0.25">
      <c r="A67" s="107" t="str">
        <f t="shared" si="0"/>
        <v/>
      </c>
      <c r="B67" s="66"/>
      <c r="C67" s="128"/>
      <c r="D67" s="152"/>
      <c r="E67" s="153"/>
      <c r="F67" s="152"/>
      <c r="G67" s="153"/>
      <c r="H67" s="153"/>
      <c r="I67" s="152"/>
      <c r="J67" s="69"/>
      <c r="K67" s="69"/>
      <c r="L67" s="152"/>
      <c r="M67" s="152"/>
      <c r="N67" s="152"/>
      <c r="O67" s="152"/>
      <c r="P67" s="152"/>
      <c r="Q67" s="154"/>
      <c r="R67" s="139" t="str">
        <f t="shared" si="2"/>
        <v/>
      </c>
      <c r="S67" s="140" t="str">
        <f t="shared" si="3"/>
        <v/>
      </c>
      <c r="T67" s="141" t="str">
        <f t="shared" si="1"/>
        <v/>
      </c>
      <c r="U67" s="191" t="str">
        <f t="shared" si="4"/>
        <v/>
      </c>
      <c r="V67" s="163" t="str">
        <f t="shared" si="5"/>
        <v/>
      </c>
      <c r="W67" s="155"/>
      <c r="X67" s="155"/>
      <c r="Y67" s="156"/>
      <c r="Z67" s="155"/>
    </row>
    <row r="68" spans="1:26" ht="15" customHeight="1" x14ac:dyDescent="0.25">
      <c r="A68" s="107" t="str">
        <f t="shared" si="0"/>
        <v/>
      </c>
      <c r="B68" s="66"/>
      <c r="C68" s="128"/>
      <c r="D68" s="152"/>
      <c r="E68" s="153"/>
      <c r="F68" s="152"/>
      <c r="G68" s="153"/>
      <c r="H68" s="153"/>
      <c r="I68" s="152"/>
      <c r="J68" s="192"/>
      <c r="K68" s="69"/>
      <c r="L68" s="152"/>
      <c r="M68" s="152"/>
      <c r="N68" s="152"/>
      <c r="O68" s="152"/>
      <c r="P68" s="152"/>
      <c r="Q68" s="154"/>
      <c r="R68" s="139" t="str">
        <f t="shared" si="2"/>
        <v/>
      </c>
      <c r="S68" s="140" t="str">
        <f t="shared" si="3"/>
        <v/>
      </c>
      <c r="T68" s="141" t="str">
        <f t="shared" si="1"/>
        <v/>
      </c>
      <c r="U68" s="191" t="str">
        <f t="shared" si="4"/>
        <v/>
      </c>
      <c r="V68" s="163" t="str">
        <f t="shared" si="5"/>
        <v/>
      </c>
      <c r="W68" s="155"/>
      <c r="X68" s="155"/>
      <c r="Y68" s="156"/>
      <c r="Z68" s="155"/>
    </row>
    <row r="69" spans="1:26" ht="15" customHeight="1" x14ac:dyDescent="0.25">
      <c r="A69" s="107" t="str">
        <f t="shared" si="0"/>
        <v/>
      </c>
      <c r="B69" s="66"/>
      <c r="C69" s="128"/>
      <c r="D69" s="152"/>
      <c r="E69" s="153"/>
      <c r="F69" s="152"/>
      <c r="G69" s="153"/>
      <c r="H69" s="153"/>
      <c r="I69" s="152"/>
      <c r="J69" s="192"/>
      <c r="K69" s="69"/>
      <c r="L69" s="152"/>
      <c r="M69" s="152"/>
      <c r="N69" s="152"/>
      <c r="O69" s="152"/>
      <c r="P69" s="152"/>
      <c r="Q69" s="154"/>
      <c r="R69" s="139" t="str">
        <f t="shared" si="2"/>
        <v/>
      </c>
      <c r="S69" s="140" t="str">
        <f t="shared" si="3"/>
        <v/>
      </c>
      <c r="T69" s="141" t="str">
        <f t="shared" si="1"/>
        <v/>
      </c>
      <c r="U69" s="191" t="str">
        <f t="shared" si="4"/>
        <v/>
      </c>
      <c r="V69" s="163" t="str">
        <f t="shared" si="5"/>
        <v/>
      </c>
      <c r="W69" s="155"/>
      <c r="X69" s="155"/>
      <c r="Y69" s="156"/>
      <c r="Z69" s="155"/>
    </row>
    <row r="70" spans="1:26" ht="15" customHeight="1" x14ac:dyDescent="0.25">
      <c r="A70" s="107" t="str">
        <f t="shared" si="0"/>
        <v/>
      </c>
      <c r="B70" s="66"/>
      <c r="C70" s="128"/>
      <c r="D70" s="152"/>
      <c r="E70" s="153"/>
      <c r="F70" s="152"/>
      <c r="G70" s="153"/>
      <c r="H70" s="153"/>
      <c r="I70" s="152"/>
      <c r="J70" s="192"/>
      <c r="K70" s="69"/>
      <c r="L70" s="152"/>
      <c r="M70" s="152"/>
      <c r="N70" s="152"/>
      <c r="O70" s="152"/>
      <c r="P70" s="152"/>
      <c r="Q70" s="154"/>
      <c r="R70" s="139" t="str">
        <f t="shared" si="2"/>
        <v/>
      </c>
      <c r="S70" s="140" t="str">
        <f t="shared" si="3"/>
        <v/>
      </c>
      <c r="T70" s="141" t="str">
        <f t="shared" si="1"/>
        <v/>
      </c>
      <c r="U70" s="191" t="str">
        <f t="shared" si="4"/>
        <v/>
      </c>
      <c r="V70" s="163" t="str">
        <f t="shared" si="5"/>
        <v/>
      </c>
      <c r="W70" s="155"/>
      <c r="X70" s="155"/>
      <c r="Y70" s="156"/>
      <c r="Z70" s="155"/>
    </row>
    <row r="71" spans="1:26" ht="15" customHeight="1" x14ac:dyDescent="0.25">
      <c r="A71" s="107" t="str">
        <f t="shared" ref="A71:A85" si="6">IF(I71&gt;0,A70+1,"")</f>
        <v/>
      </c>
      <c r="B71" s="66"/>
      <c r="C71" s="128"/>
      <c r="D71" s="152"/>
      <c r="E71" s="153"/>
      <c r="F71" s="152"/>
      <c r="G71" s="153"/>
      <c r="H71" s="153"/>
      <c r="I71" s="152"/>
      <c r="J71" s="69"/>
      <c r="K71" s="69"/>
      <c r="L71" s="152"/>
      <c r="M71" s="152"/>
      <c r="N71" s="152"/>
      <c r="O71" s="152"/>
      <c r="P71" s="152"/>
      <c r="Q71" s="154"/>
      <c r="R71" s="139" t="str">
        <f t="shared" si="2"/>
        <v/>
      </c>
      <c r="S71" s="140" t="str">
        <f t="shared" si="3"/>
        <v/>
      </c>
      <c r="T71" s="141" t="str">
        <f t="shared" ref="T71:T85" si="7">IF(ISNUMBER(R71),RANK(R71,R$6:R$85,0),"")</f>
        <v/>
      </c>
      <c r="U71" s="191" t="str">
        <f t="shared" si="4"/>
        <v/>
      </c>
      <c r="V71" s="163" t="str">
        <f t="shared" si="5"/>
        <v/>
      </c>
      <c r="W71" s="155"/>
      <c r="X71" s="155"/>
      <c r="Y71" s="156"/>
      <c r="Z71" s="155"/>
    </row>
    <row r="72" spans="1:26" ht="15" customHeight="1" x14ac:dyDescent="0.25">
      <c r="A72" s="107" t="str">
        <f t="shared" si="6"/>
        <v/>
      </c>
      <c r="B72" s="66"/>
      <c r="C72" s="128"/>
      <c r="D72" s="152"/>
      <c r="E72" s="153"/>
      <c r="F72" s="152"/>
      <c r="G72" s="153"/>
      <c r="H72" s="153"/>
      <c r="I72" s="152"/>
      <c r="J72" s="192"/>
      <c r="K72" s="69"/>
      <c r="L72" s="152"/>
      <c r="M72" s="152"/>
      <c r="N72" s="152"/>
      <c r="O72" s="152"/>
      <c r="P72" s="152"/>
      <c r="Q72" s="154"/>
      <c r="R72" s="139" t="str">
        <f t="shared" ref="R72:R85" si="8">IF((OR(ISNUMBER(L72),ISNUMBER(M72),ISNUMBER(N72),ISNUMBER(O72),ISNUMBER(P72))),L72+M72+N72+O72+P72,"")</f>
        <v/>
      </c>
      <c r="S72" s="140" t="str">
        <f t="shared" ref="S72:S85" si="9">IF(ISNUMBER(R72),R72/5,"")</f>
        <v/>
      </c>
      <c r="T72" s="141" t="str">
        <f t="shared" si="7"/>
        <v/>
      </c>
      <c r="U72" s="191" t="str">
        <f t="shared" ref="U72:U85" si="10">IF(E72&gt;0,IF(AND(L72&gt;=33,M72&gt;=33,N72&gt;=33,O72&gt;=33,P72&gt;=33),"PASS","Essential Repeat"),"")</f>
        <v/>
      </c>
      <c r="V72" s="163" t="str">
        <f t="shared" ref="V72:V85" si="11">IF(LEN(U72)&gt;1,IF((AND($O72&gt;=60,$N72&gt;=60,(($N72+$O72)&gt;=130),$S72&gt;=65)),"Science With Mathematics",IF((AND($O72&gt;=60,$N72&gt;=50,(($N72+$O72)&gt;=130),$S72&gt;=65)),"Science Without Mathematics",IF((AND($N72&gt;=60,$S72&gt;=50)),"Commerce With Mathematics",IF((AND($N72&gt;=45,$S72&gt;=50)),"Commerce Without Mathematics",IF(U72="PASS","Humanities","NOT ELIGIBIBLE"))))),"")</f>
        <v/>
      </c>
      <c r="W72" s="155"/>
      <c r="X72" s="155"/>
      <c r="Y72" s="156"/>
      <c r="Z72" s="155"/>
    </row>
    <row r="73" spans="1:26" ht="15" customHeight="1" x14ac:dyDescent="0.25">
      <c r="A73" s="107" t="str">
        <f t="shared" si="6"/>
        <v/>
      </c>
      <c r="B73" s="66"/>
      <c r="C73" s="128"/>
      <c r="D73" s="152"/>
      <c r="E73" s="153"/>
      <c r="F73" s="152"/>
      <c r="G73" s="153"/>
      <c r="H73" s="153"/>
      <c r="I73" s="152"/>
      <c r="J73" s="69"/>
      <c r="K73" s="69"/>
      <c r="L73" s="152"/>
      <c r="M73" s="152"/>
      <c r="N73" s="152"/>
      <c r="O73" s="152"/>
      <c r="P73" s="152"/>
      <c r="Q73" s="154"/>
      <c r="R73" s="139" t="str">
        <f t="shared" si="8"/>
        <v/>
      </c>
      <c r="S73" s="140" t="str">
        <f t="shared" si="9"/>
        <v/>
      </c>
      <c r="T73" s="141" t="str">
        <f t="shared" si="7"/>
        <v/>
      </c>
      <c r="U73" s="191" t="str">
        <f t="shared" si="10"/>
        <v/>
      </c>
      <c r="V73" s="163" t="str">
        <f t="shared" si="11"/>
        <v/>
      </c>
      <c r="W73" s="155"/>
      <c r="X73" s="155"/>
      <c r="Y73" s="156"/>
      <c r="Z73" s="155"/>
    </row>
    <row r="74" spans="1:26" ht="15" customHeight="1" x14ac:dyDescent="0.25">
      <c r="A74" s="107" t="str">
        <f t="shared" si="6"/>
        <v/>
      </c>
      <c r="B74" s="66"/>
      <c r="C74" s="128"/>
      <c r="D74" s="152"/>
      <c r="E74" s="153"/>
      <c r="F74" s="152"/>
      <c r="G74" s="153"/>
      <c r="H74" s="153"/>
      <c r="I74" s="152"/>
      <c r="J74" s="69"/>
      <c r="K74" s="69"/>
      <c r="L74" s="152"/>
      <c r="M74" s="152"/>
      <c r="N74" s="152"/>
      <c r="O74" s="152"/>
      <c r="P74" s="152"/>
      <c r="Q74" s="154"/>
      <c r="R74" s="139" t="str">
        <f t="shared" si="8"/>
        <v/>
      </c>
      <c r="S74" s="140" t="str">
        <f t="shared" si="9"/>
        <v/>
      </c>
      <c r="T74" s="141" t="str">
        <f t="shared" si="7"/>
        <v/>
      </c>
      <c r="U74" s="191" t="str">
        <f t="shared" si="10"/>
        <v/>
      </c>
      <c r="V74" s="163" t="str">
        <f t="shared" si="11"/>
        <v/>
      </c>
      <c r="W74" s="155"/>
      <c r="X74" s="155"/>
      <c r="Y74" s="156"/>
      <c r="Z74" s="155"/>
    </row>
    <row r="75" spans="1:26" ht="15" customHeight="1" x14ac:dyDescent="0.25">
      <c r="A75" s="107" t="str">
        <f t="shared" si="6"/>
        <v/>
      </c>
      <c r="B75" s="66"/>
      <c r="C75" s="128"/>
      <c r="D75" s="152"/>
      <c r="E75" s="153"/>
      <c r="F75" s="152"/>
      <c r="G75" s="153"/>
      <c r="H75" s="153"/>
      <c r="I75" s="152"/>
      <c r="J75" s="69"/>
      <c r="K75" s="69"/>
      <c r="L75" s="152"/>
      <c r="M75" s="152"/>
      <c r="N75" s="152"/>
      <c r="O75" s="152"/>
      <c r="P75" s="152"/>
      <c r="Q75" s="154"/>
      <c r="R75" s="139" t="str">
        <f t="shared" si="8"/>
        <v/>
      </c>
      <c r="S75" s="140" t="str">
        <f t="shared" si="9"/>
        <v/>
      </c>
      <c r="T75" s="141" t="str">
        <f t="shared" si="7"/>
        <v/>
      </c>
      <c r="U75" s="191" t="str">
        <f t="shared" si="10"/>
        <v/>
      </c>
      <c r="V75" s="163" t="str">
        <f t="shared" si="11"/>
        <v/>
      </c>
      <c r="W75" s="155"/>
      <c r="X75" s="155"/>
      <c r="Y75" s="156"/>
      <c r="Z75" s="155"/>
    </row>
    <row r="76" spans="1:26" ht="15" customHeight="1" x14ac:dyDescent="0.25">
      <c r="A76" s="107" t="str">
        <f t="shared" si="6"/>
        <v/>
      </c>
      <c r="B76" s="66"/>
      <c r="C76" s="128"/>
      <c r="D76" s="152"/>
      <c r="E76" s="153"/>
      <c r="F76" s="152"/>
      <c r="G76" s="153"/>
      <c r="H76" s="153"/>
      <c r="I76" s="152"/>
      <c r="J76" s="69"/>
      <c r="K76" s="69"/>
      <c r="L76" s="152"/>
      <c r="M76" s="152"/>
      <c r="N76" s="152"/>
      <c r="O76" s="152"/>
      <c r="P76" s="152"/>
      <c r="Q76" s="154"/>
      <c r="R76" s="139" t="str">
        <f t="shared" si="8"/>
        <v/>
      </c>
      <c r="S76" s="140" t="str">
        <f t="shared" si="9"/>
        <v/>
      </c>
      <c r="T76" s="141" t="str">
        <f t="shared" si="7"/>
        <v/>
      </c>
      <c r="U76" s="191" t="str">
        <f t="shared" si="10"/>
        <v/>
      </c>
      <c r="V76" s="163" t="str">
        <f t="shared" si="11"/>
        <v/>
      </c>
      <c r="W76" s="155"/>
      <c r="X76" s="155"/>
      <c r="Y76" s="156"/>
      <c r="Z76" s="155"/>
    </row>
    <row r="77" spans="1:26" ht="15" customHeight="1" x14ac:dyDescent="0.25">
      <c r="A77" s="107" t="str">
        <f t="shared" si="6"/>
        <v/>
      </c>
      <c r="B77" s="66"/>
      <c r="C77" s="128"/>
      <c r="D77" s="152"/>
      <c r="E77" s="153"/>
      <c r="F77" s="152"/>
      <c r="G77" s="153"/>
      <c r="H77" s="153"/>
      <c r="I77" s="152"/>
      <c r="J77" s="69"/>
      <c r="K77" s="69"/>
      <c r="L77" s="152"/>
      <c r="M77" s="152"/>
      <c r="N77" s="152"/>
      <c r="O77" s="152"/>
      <c r="P77" s="152"/>
      <c r="Q77" s="154"/>
      <c r="R77" s="139" t="str">
        <f t="shared" si="8"/>
        <v/>
      </c>
      <c r="S77" s="140" t="str">
        <f t="shared" si="9"/>
        <v/>
      </c>
      <c r="T77" s="141" t="str">
        <f t="shared" si="7"/>
        <v/>
      </c>
      <c r="U77" s="191" t="str">
        <f t="shared" si="10"/>
        <v/>
      </c>
      <c r="V77" s="163" t="str">
        <f t="shared" si="11"/>
        <v/>
      </c>
      <c r="W77" s="155"/>
      <c r="X77" s="155"/>
      <c r="Y77" s="156"/>
      <c r="Z77" s="155"/>
    </row>
    <row r="78" spans="1:26" ht="15" customHeight="1" x14ac:dyDescent="0.25">
      <c r="A78" s="107" t="str">
        <f t="shared" si="6"/>
        <v/>
      </c>
      <c r="B78" s="66"/>
      <c r="C78" s="128"/>
      <c r="D78" s="152"/>
      <c r="E78" s="153"/>
      <c r="F78" s="152"/>
      <c r="G78" s="153"/>
      <c r="H78" s="153"/>
      <c r="I78" s="152"/>
      <c r="J78" s="192"/>
      <c r="K78" s="69"/>
      <c r="L78" s="152"/>
      <c r="M78" s="152"/>
      <c r="N78" s="152"/>
      <c r="O78" s="152"/>
      <c r="P78" s="152"/>
      <c r="Q78" s="154"/>
      <c r="R78" s="139" t="str">
        <f t="shared" si="8"/>
        <v/>
      </c>
      <c r="S78" s="140" t="str">
        <f t="shared" si="9"/>
        <v/>
      </c>
      <c r="T78" s="141" t="str">
        <f t="shared" si="7"/>
        <v/>
      </c>
      <c r="U78" s="191" t="str">
        <f t="shared" si="10"/>
        <v/>
      </c>
      <c r="V78" s="163" t="str">
        <f t="shared" si="11"/>
        <v/>
      </c>
      <c r="W78" s="155"/>
      <c r="X78" s="155"/>
      <c r="Y78" s="156"/>
      <c r="Z78" s="155"/>
    </row>
    <row r="79" spans="1:26" ht="15" customHeight="1" x14ac:dyDescent="0.25">
      <c r="A79" s="107" t="str">
        <f t="shared" si="6"/>
        <v/>
      </c>
      <c r="B79" s="66"/>
      <c r="C79" s="128"/>
      <c r="D79" s="152"/>
      <c r="E79" s="153"/>
      <c r="F79" s="152"/>
      <c r="G79" s="153"/>
      <c r="H79" s="129"/>
      <c r="I79" s="152"/>
      <c r="J79" s="69"/>
      <c r="K79" s="69"/>
      <c r="L79" s="193"/>
      <c r="M79" s="193"/>
      <c r="N79" s="193"/>
      <c r="O79" s="193"/>
      <c r="P79" s="193"/>
      <c r="Q79" s="194"/>
      <c r="R79" s="139" t="str">
        <f t="shared" si="8"/>
        <v/>
      </c>
      <c r="S79" s="140" t="str">
        <f t="shared" si="9"/>
        <v/>
      </c>
      <c r="T79" s="141" t="str">
        <f t="shared" si="7"/>
        <v/>
      </c>
      <c r="U79" s="191" t="str">
        <f t="shared" si="10"/>
        <v/>
      </c>
      <c r="V79" s="163" t="str">
        <f t="shared" si="11"/>
        <v/>
      </c>
      <c r="W79" s="155"/>
      <c r="X79" s="155"/>
    </row>
    <row r="80" spans="1:26" ht="15" customHeight="1" x14ac:dyDescent="0.25">
      <c r="A80" s="107" t="str">
        <f t="shared" si="6"/>
        <v/>
      </c>
      <c r="B80" s="66"/>
      <c r="C80" s="128"/>
      <c r="D80" s="130"/>
      <c r="E80" s="131"/>
      <c r="F80" s="152"/>
      <c r="G80" s="153"/>
      <c r="H80" s="132"/>
      <c r="I80" s="130"/>
      <c r="J80" s="69"/>
      <c r="K80" s="69"/>
      <c r="L80" s="195"/>
      <c r="M80" s="195"/>
      <c r="N80" s="195"/>
      <c r="O80" s="195"/>
      <c r="P80" s="195"/>
      <c r="Q80" s="196"/>
      <c r="R80" s="139" t="str">
        <f t="shared" si="8"/>
        <v/>
      </c>
      <c r="S80" s="140" t="str">
        <f t="shared" si="9"/>
        <v/>
      </c>
      <c r="T80" s="141" t="str">
        <f t="shared" si="7"/>
        <v/>
      </c>
      <c r="U80" s="191" t="str">
        <f t="shared" si="10"/>
        <v/>
      </c>
      <c r="V80" s="163" t="str">
        <f t="shared" si="11"/>
        <v/>
      </c>
      <c r="W80" s="155"/>
      <c r="X80" s="155"/>
    </row>
    <row r="81" spans="1:24" ht="15" customHeight="1" x14ac:dyDescent="0.25">
      <c r="A81" s="107" t="str">
        <f t="shared" si="6"/>
        <v/>
      </c>
      <c r="B81" s="66"/>
      <c r="C81" s="128"/>
      <c r="D81" s="69"/>
      <c r="E81" s="133"/>
      <c r="F81" s="152"/>
      <c r="G81" s="153"/>
      <c r="H81" s="129"/>
      <c r="I81" s="69"/>
      <c r="J81" s="69"/>
      <c r="K81" s="69"/>
      <c r="L81" s="195"/>
      <c r="M81" s="195"/>
      <c r="N81" s="195"/>
      <c r="O81" s="195"/>
      <c r="P81" s="195"/>
      <c r="Q81" s="196"/>
      <c r="R81" s="139" t="str">
        <f t="shared" si="8"/>
        <v/>
      </c>
      <c r="S81" s="140" t="str">
        <f t="shared" si="9"/>
        <v/>
      </c>
      <c r="T81" s="141" t="str">
        <f t="shared" si="7"/>
        <v/>
      </c>
      <c r="U81" s="191" t="str">
        <f t="shared" si="10"/>
        <v/>
      </c>
      <c r="V81" s="163" t="str">
        <f t="shared" si="11"/>
        <v/>
      </c>
      <c r="W81" s="155"/>
      <c r="X81" s="155"/>
    </row>
    <row r="82" spans="1:24" ht="15" customHeight="1" x14ac:dyDescent="0.25">
      <c r="A82" s="107" t="str">
        <f t="shared" si="6"/>
        <v/>
      </c>
      <c r="B82" s="66"/>
      <c r="C82" s="128"/>
      <c r="D82" s="69"/>
      <c r="E82" s="133"/>
      <c r="F82" s="152"/>
      <c r="G82" s="153"/>
      <c r="H82" s="129"/>
      <c r="I82" s="69"/>
      <c r="J82" s="69"/>
      <c r="K82" s="69"/>
      <c r="L82" s="195"/>
      <c r="M82" s="195"/>
      <c r="N82" s="195"/>
      <c r="O82" s="195"/>
      <c r="P82" s="195"/>
      <c r="Q82" s="196"/>
      <c r="R82" s="139" t="str">
        <f t="shared" si="8"/>
        <v/>
      </c>
      <c r="S82" s="140" t="str">
        <f t="shared" si="9"/>
        <v/>
      </c>
      <c r="T82" s="141" t="str">
        <f t="shared" si="7"/>
        <v/>
      </c>
      <c r="U82" s="191" t="str">
        <f t="shared" si="10"/>
        <v/>
      </c>
      <c r="V82" s="163" t="str">
        <f t="shared" si="11"/>
        <v/>
      </c>
      <c r="W82" s="155"/>
      <c r="X82" s="155"/>
    </row>
    <row r="83" spans="1:24" ht="15" customHeight="1" x14ac:dyDescent="0.25">
      <c r="A83" s="107" t="str">
        <f t="shared" si="6"/>
        <v/>
      </c>
      <c r="B83" s="66"/>
      <c r="C83" s="128"/>
      <c r="D83" s="69"/>
      <c r="E83" s="133"/>
      <c r="F83" s="152"/>
      <c r="G83" s="153"/>
      <c r="H83" s="129"/>
      <c r="I83" s="69"/>
      <c r="J83" s="69"/>
      <c r="K83" s="69"/>
      <c r="L83" s="195"/>
      <c r="M83" s="195"/>
      <c r="N83" s="195"/>
      <c r="O83" s="195"/>
      <c r="P83" s="195"/>
      <c r="Q83" s="196"/>
      <c r="R83" s="139" t="str">
        <f t="shared" si="8"/>
        <v/>
      </c>
      <c r="S83" s="140" t="str">
        <f t="shared" si="9"/>
        <v/>
      </c>
      <c r="T83" s="141" t="str">
        <f t="shared" si="7"/>
        <v/>
      </c>
      <c r="U83" s="191" t="str">
        <f t="shared" si="10"/>
        <v/>
      </c>
      <c r="V83" s="163" t="str">
        <f t="shared" si="11"/>
        <v/>
      </c>
      <c r="W83" s="155"/>
      <c r="X83" s="155"/>
    </row>
    <row r="84" spans="1:24" ht="15" customHeight="1" x14ac:dyDescent="0.25">
      <c r="A84" s="107" t="str">
        <f t="shared" si="6"/>
        <v/>
      </c>
      <c r="B84" s="66"/>
      <c r="C84" s="128"/>
      <c r="D84" s="69"/>
      <c r="E84" s="133"/>
      <c r="F84" s="152"/>
      <c r="G84" s="153"/>
      <c r="H84" s="129"/>
      <c r="I84" s="69"/>
      <c r="J84" s="69"/>
      <c r="K84" s="69"/>
      <c r="L84" s="195"/>
      <c r="M84" s="195"/>
      <c r="N84" s="195"/>
      <c r="O84" s="195"/>
      <c r="P84" s="195"/>
      <c r="Q84" s="196"/>
      <c r="R84" s="139" t="str">
        <f t="shared" si="8"/>
        <v/>
      </c>
      <c r="S84" s="140" t="str">
        <f t="shared" si="9"/>
        <v/>
      </c>
      <c r="T84" s="141" t="str">
        <f t="shared" si="7"/>
        <v/>
      </c>
      <c r="U84" s="191" t="str">
        <f t="shared" si="10"/>
        <v/>
      </c>
      <c r="V84" s="163" t="str">
        <f t="shared" si="11"/>
        <v/>
      </c>
      <c r="W84" s="155"/>
      <c r="X84" s="155"/>
    </row>
    <row r="85" spans="1:24" ht="15" customHeight="1" x14ac:dyDescent="0.25">
      <c r="A85" s="107" t="str">
        <f t="shared" si="6"/>
        <v/>
      </c>
      <c r="B85" s="66"/>
      <c r="C85" s="128"/>
      <c r="D85" s="69"/>
      <c r="E85" s="133"/>
      <c r="F85" s="152"/>
      <c r="G85" s="153"/>
      <c r="H85" s="129"/>
      <c r="I85" s="69"/>
      <c r="J85" s="69"/>
      <c r="K85" s="69"/>
      <c r="L85" s="195"/>
      <c r="M85" s="195"/>
      <c r="N85" s="195"/>
      <c r="O85" s="195"/>
      <c r="P85" s="195"/>
      <c r="Q85" s="196"/>
      <c r="R85" s="139" t="str">
        <f t="shared" si="8"/>
        <v/>
      </c>
      <c r="S85" s="140" t="str">
        <f t="shared" si="9"/>
        <v/>
      </c>
      <c r="T85" s="141" t="str">
        <f t="shared" si="7"/>
        <v/>
      </c>
      <c r="U85" s="191" t="str">
        <f t="shared" si="10"/>
        <v/>
      </c>
      <c r="V85" s="163" t="str">
        <f t="shared" si="11"/>
        <v/>
      </c>
      <c r="W85" s="155"/>
      <c r="X85" s="155"/>
    </row>
    <row r="86" spans="1:24" s="158" customFormat="1" ht="16.899999999999999" customHeight="1" x14ac:dyDescent="0.25">
      <c r="A86" s="311" t="s">
        <v>89</v>
      </c>
      <c r="B86" s="311"/>
      <c r="C86" s="312">
        <f>COUNTIF(C6:C85,"&gt;0")</f>
        <v>0</v>
      </c>
      <c r="D86" s="134"/>
      <c r="E86" s="135"/>
      <c r="F86" s="134"/>
      <c r="G86" s="136"/>
      <c r="H86" s="136"/>
      <c r="I86" s="136"/>
      <c r="J86" s="136"/>
      <c r="K86" s="136"/>
      <c r="L86" s="134"/>
      <c r="M86" s="134"/>
      <c r="N86" s="134"/>
      <c r="O86" s="335" t="s">
        <v>241</v>
      </c>
      <c r="P86" s="336"/>
      <c r="Q86" s="337"/>
      <c r="R86" s="134">
        <f t="shared" ref="R86" si="12">SUM(R6:R85)</f>
        <v>0</v>
      </c>
      <c r="S86" s="338" t="s">
        <v>190</v>
      </c>
      <c r="T86" s="339"/>
      <c r="U86" s="134">
        <f>COUNTIF($U$6:$U$85,"=PASS")</f>
        <v>0</v>
      </c>
      <c r="V86" s="157"/>
      <c r="W86" s="157"/>
      <c r="X86" s="157"/>
    </row>
    <row r="87" spans="1:24" s="161" customFormat="1" ht="18" customHeight="1" x14ac:dyDescent="0.25">
      <c r="A87" s="311"/>
      <c r="B87" s="311"/>
      <c r="C87" s="312"/>
      <c r="D87" s="142"/>
      <c r="E87" s="142"/>
      <c r="F87" s="176"/>
      <c r="G87" s="143"/>
      <c r="H87" s="143"/>
      <c r="I87" s="143"/>
      <c r="J87" s="143"/>
      <c r="K87" s="143"/>
      <c r="L87" s="144"/>
      <c r="M87" s="144"/>
      <c r="N87" s="144"/>
      <c r="O87" s="332" t="s">
        <v>240</v>
      </c>
      <c r="P87" s="333"/>
      <c r="Q87" s="334"/>
      <c r="R87" s="144" t="e">
        <f>(R86/C106)/5</f>
        <v>#DIV/0!</v>
      </c>
      <c r="S87" s="340" t="s">
        <v>242</v>
      </c>
      <c r="T87" s="341"/>
      <c r="U87" s="159">
        <f>COUNTIF($U$6:$U$85,"=Essential Repeat")</f>
        <v>0</v>
      </c>
      <c r="V87" s="160"/>
      <c r="W87" s="160"/>
      <c r="X87" s="160"/>
    </row>
    <row r="88" spans="1:24" ht="25.9" customHeight="1" x14ac:dyDescent="0.25">
      <c r="A88" s="318" t="s">
        <v>90</v>
      </c>
      <c r="B88" s="313" t="s">
        <v>91</v>
      </c>
      <c r="C88" s="310">
        <f>COUNTIF(C6:C85,"6")</f>
        <v>0</v>
      </c>
      <c r="D88" s="310"/>
      <c r="E88" s="354" t="s">
        <v>93</v>
      </c>
      <c r="F88" s="355"/>
      <c r="G88" s="355"/>
      <c r="H88" s="356"/>
      <c r="I88" s="330" t="s">
        <v>245</v>
      </c>
      <c r="J88" s="331"/>
      <c r="K88" s="331"/>
      <c r="L88" s="331"/>
      <c r="M88" s="331"/>
      <c r="N88" s="331"/>
      <c r="O88" s="331"/>
      <c r="P88" s="331"/>
      <c r="Q88" s="331"/>
      <c r="R88" s="197" t="s">
        <v>235</v>
      </c>
      <c r="S88" s="328" t="s">
        <v>244</v>
      </c>
      <c r="T88" s="328"/>
      <c r="U88" s="329"/>
      <c r="V88" s="155"/>
      <c r="W88" s="155"/>
      <c r="X88" s="155"/>
    </row>
    <row r="89" spans="1:24" ht="15" customHeight="1" x14ac:dyDescent="0.25">
      <c r="A89" s="318"/>
      <c r="B89" s="313"/>
      <c r="C89" s="310"/>
      <c r="D89" s="310"/>
      <c r="E89" s="177"/>
      <c r="F89" s="178"/>
      <c r="G89" s="178"/>
      <c r="H89" s="179"/>
      <c r="I89" s="249" t="s">
        <v>259</v>
      </c>
      <c r="J89" s="249"/>
      <c r="K89" s="249"/>
      <c r="L89" s="190">
        <f>SUM(L6:L85)</f>
        <v>0</v>
      </c>
      <c r="M89" s="190">
        <f t="shared" ref="M89:P89" si="13">SUM(M6:M85)</f>
        <v>0</v>
      </c>
      <c r="N89" s="190">
        <f t="shared" si="13"/>
        <v>0</v>
      </c>
      <c r="O89" s="190">
        <f t="shared" si="13"/>
        <v>0</v>
      </c>
      <c r="P89" s="190">
        <f t="shared" si="13"/>
        <v>0</v>
      </c>
      <c r="Q89" s="190">
        <f t="shared" ref="Q89" si="14">SUM(Q6:Q85)</f>
        <v>0</v>
      </c>
      <c r="R89" s="198">
        <f>SUM(R6:R85)</f>
        <v>0</v>
      </c>
      <c r="S89" s="378" t="s">
        <v>234</v>
      </c>
      <c r="T89" s="379"/>
      <c r="U89" s="379"/>
      <c r="V89" s="155"/>
      <c r="W89" s="155"/>
      <c r="X89" s="155"/>
    </row>
    <row r="90" spans="1:24" ht="15" customHeight="1" x14ac:dyDescent="0.25">
      <c r="A90" s="318"/>
      <c r="B90" s="313"/>
      <c r="C90" s="310"/>
      <c r="D90" s="310"/>
      <c r="E90" s="321" t="s">
        <v>75</v>
      </c>
      <c r="F90" s="326">
        <f>COUNTIF(K6:K85,"RURAL")</f>
        <v>0</v>
      </c>
      <c r="G90" s="372">
        <f>F90+F92</f>
        <v>0</v>
      </c>
      <c r="H90" s="373"/>
      <c r="I90" s="248" t="s">
        <v>6</v>
      </c>
      <c r="J90" s="248"/>
      <c r="K90" s="248"/>
      <c r="L90" s="183">
        <f>COUNT(L6:L85)+COUNTIF(L6:L85,"AB")</f>
        <v>0</v>
      </c>
      <c r="M90" s="183">
        <f t="shared" ref="M90:P90" si="15">COUNT(M6:M85)+COUNTIF(M6:M85,"AB")</f>
        <v>0</v>
      </c>
      <c r="N90" s="183">
        <f t="shared" si="15"/>
        <v>0</v>
      </c>
      <c r="O90" s="183">
        <f t="shared" si="15"/>
        <v>0</v>
      </c>
      <c r="P90" s="183">
        <f t="shared" si="15"/>
        <v>0</v>
      </c>
      <c r="Q90" s="183">
        <f t="shared" ref="Q90" si="16">COUNT(Q6:Q85)+COUNTIF(Q6:Q85,"AB")</f>
        <v>0</v>
      </c>
      <c r="R90" s="199">
        <f>C106</f>
        <v>0</v>
      </c>
      <c r="S90" s="380"/>
      <c r="T90" s="380"/>
      <c r="U90" s="380"/>
      <c r="V90" s="155"/>
      <c r="W90" s="155"/>
      <c r="X90" s="155"/>
    </row>
    <row r="91" spans="1:24" ht="15" customHeight="1" x14ac:dyDescent="0.25">
      <c r="A91" s="318"/>
      <c r="B91" s="313"/>
      <c r="C91" s="310"/>
      <c r="D91" s="310"/>
      <c r="E91" s="321"/>
      <c r="F91" s="326"/>
      <c r="G91" s="374"/>
      <c r="H91" s="375"/>
      <c r="I91" s="253" t="s">
        <v>7</v>
      </c>
      <c r="J91" s="249"/>
      <c r="K91" s="249"/>
      <c r="L91" s="187">
        <f>COUNT(L6:L85)</f>
        <v>0</v>
      </c>
      <c r="M91" s="187">
        <f t="shared" ref="M91:P91" si="17">COUNT(M6:M85)</f>
        <v>0</v>
      </c>
      <c r="N91" s="187">
        <f t="shared" si="17"/>
        <v>0</v>
      </c>
      <c r="O91" s="187">
        <f t="shared" si="17"/>
        <v>0</v>
      </c>
      <c r="P91" s="187">
        <f t="shared" si="17"/>
        <v>0</v>
      </c>
      <c r="Q91" s="187">
        <f t="shared" ref="Q91" si="18">COUNT(Q6:Q85)</f>
        <v>0</v>
      </c>
      <c r="R91" s="200">
        <f>COUNTIF(R$6:R$85,"&gt;0")</f>
        <v>0</v>
      </c>
      <c r="S91" s="380"/>
      <c r="T91" s="380"/>
      <c r="U91" s="380"/>
      <c r="V91" s="155"/>
      <c r="W91" s="155"/>
      <c r="X91" s="155"/>
    </row>
    <row r="92" spans="1:24" ht="13.9" customHeight="1" x14ac:dyDescent="0.25">
      <c r="A92" s="318"/>
      <c r="B92" s="313"/>
      <c r="C92" s="310"/>
      <c r="D92" s="310"/>
      <c r="E92" s="321" t="s">
        <v>76</v>
      </c>
      <c r="F92" s="326">
        <f>COUNTIF(K6:K85,"URBAN")</f>
        <v>0</v>
      </c>
      <c r="G92" s="374"/>
      <c r="H92" s="375"/>
      <c r="I92" s="248" t="s">
        <v>169</v>
      </c>
      <c r="J92" s="248"/>
      <c r="K92" s="248"/>
      <c r="L92" s="183">
        <f>COUNTIF(L6:L85,"&gt;=33")</f>
        <v>0</v>
      </c>
      <c r="M92" s="183">
        <f t="shared" ref="M92:P92" si="19">COUNTIF(M6:M85,"&gt;=33")</f>
        <v>0</v>
      </c>
      <c r="N92" s="183">
        <f t="shared" si="19"/>
        <v>0</v>
      </c>
      <c r="O92" s="183">
        <f t="shared" si="19"/>
        <v>0</v>
      </c>
      <c r="P92" s="183">
        <f t="shared" si="19"/>
        <v>0</v>
      </c>
      <c r="Q92" s="183">
        <f t="shared" ref="Q92" si="20">COUNTIF(Q6:Q85,"&gt;=33")</f>
        <v>0</v>
      </c>
      <c r="R92" s="199">
        <f>U86</f>
        <v>0</v>
      </c>
      <c r="S92" s="380"/>
      <c r="T92" s="380"/>
      <c r="U92" s="380"/>
      <c r="V92" s="155"/>
      <c r="W92" s="155"/>
      <c r="X92" s="155"/>
    </row>
    <row r="93" spans="1:24" ht="14.45" customHeight="1" x14ac:dyDescent="0.25">
      <c r="A93" s="318"/>
      <c r="B93" s="313"/>
      <c r="C93" s="310"/>
      <c r="D93" s="310"/>
      <c r="E93" s="321"/>
      <c r="F93" s="326"/>
      <c r="G93" s="376"/>
      <c r="H93" s="377"/>
      <c r="I93" s="253" t="s">
        <v>170</v>
      </c>
      <c r="J93" s="249"/>
      <c r="K93" s="249"/>
      <c r="L93" s="187">
        <f>COUNTIF(L6:L85,"&lt;33")</f>
        <v>0</v>
      </c>
      <c r="M93" s="187">
        <f t="shared" ref="M93:P93" si="21">COUNTIF(M6:M85,"&lt;33")</f>
        <v>0</v>
      </c>
      <c r="N93" s="187">
        <f t="shared" si="21"/>
        <v>0</v>
      </c>
      <c r="O93" s="187">
        <f t="shared" si="21"/>
        <v>0</v>
      </c>
      <c r="P93" s="187">
        <f t="shared" si="21"/>
        <v>0</v>
      </c>
      <c r="Q93" s="187">
        <f t="shared" ref="Q93" si="22">COUNTIF(Q6:Q85,"&lt;33")</f>
        <v>0</v>
      </c>
      <c r="R93" s="200">
        <f>U87</f>
        <v>0</v>
      </c>
      <c r="S93" s="380"/>
      <c r="T93" s="380"/>
      <c r="U93" s="380"/>
      <c r="V93" s="155"/>
      <c r="W93" s="155"/>
      <c r="X93" s="155"/>
    </row>
    <row r="94" spans="1:24" ht="15" customHeight="1" x14ac:dyDescent="0.25">
      <c r="A94" s="318"/>
      <c r="B94" s="313"/>
      <c r="C94" s="310"/>
      <c r="D94" s="310"/>
      <c r="E94" s="321" t="s">
        <v>77</v>
      </c>
      <c r="F94" s="325">
        <f>COUNTIF(I6:I85,"boy")</f>
        <v>0</v>
      </c>
      <c r="G94" s="381">
        <f>F94+F96</f>
        <v>0</v>
      </c>
      <c r="H94" s="381"/>
      <c r="I94" s="248" t="s">
        <v>243</v>
      </c>
      <c r="J94" s="248"/>
      <c r="K94" s="248"/>
      <c r="L94" s="183" t="e">
        <f>SUM(L6:L85)/L91</f>
        <v>#DIV/0!</v>
      </c>
      <c r="M94" s="183" t="e">
        <f t="shared" ref="M94:P94" si="23">SUM(M6:M85)/M91</f>
        <v>#DIV/0!</v>
      </c>
      <c r="N94" s="183" t="e">
        <f t="shared" si="23"/>
        <v>#DIV/0!</v>
      </c>
      <c r="O94" s="183" t="e">
        <f t="shared" si="23"/>
        <v>#DIV/0!</v>
      </c>
      <c r="P94" s="183" t="e">
        <f t="shared" si="23"/>
        <v>#DIV/0!</v>
      </c>
      <c r="Q94" s="183" t="e">
        <f t="shared" ref="Q94" si="24">SUM(Q6:Q85)/Q91</f>
        <v>#DIV/0!</v>
      </c>
      <c r="R94" s="201" t="e">
        <f>R87</f>
        <v>#DIV/0!</v>
      </c>
      <c r="S94" s="380"/>
      <c r="T94" s="380"/>
      <c r="U94" s="380"/>
      <c r="V94" s="155"/>
      <c r="W94" s="155"/>
      <c r="X94" s="155"/>
    </row>
    <row r="95" spans="1:24" ht="14.45" customHeight="1" x14ac:dyDescent="0.25">
      <c r="A95" s="318"/>
      <c r="B95" s="313"/>
      <c r="C95" s="310"/>
      <c r="D95" s="310"/>
      <c r="E95" s="321"/>
      <c r="F95" s="325"/>
      <c r="G95" s="381"/>
      <c r="H95" s="381"/>
      <c r="I95" s="253" t="s">
        <v>37</v>
      </c>
      <c r="J95" s="249"/>
      <c r="K95" s="249"/>
      <c r="L95" s="186" t="e">
        <f t="shared" ref="L95:P95" si="25">IF(ISNUMBER(L91),L92/L91*100,"")</f>
        <v>#DIV/0!</v>
      </c>
      <c r="M95" s="186" t="e">
        <f t="shared" si="25"/>
        <v>#DIV/0!</v>
      </c>
      <c r="N95" s="186" t="e">
        <f t="shared" si="25"/>
        <v>#DIV/0!</v>
      </c>
      <c r="O95" s="186" t="e">
        <f t="shared" si="25"/>
        <v>#DIV/0!</v>
      </c>
      <c r="P95" s="186" t="e">
        <f t="shared" si="25"/>
        <v>#DIV/0!</v>
      </c>
      <c r="Q95" s="186" t="e">
        <f t="shared" ref="Q95" si="26">IF(ISNUMBER(Q91),Q92/Q91*100,"")</f>
        <v>#DIV/0!</v>
      </c>
      <c r="R95" s="202" t="e">
        <f>U86/C106*100</f>
        <v>#DIV/0!</v>
      </c>
      <c r="S95" s="380"/>
      <c r="T95" s="380"/>
      <c r="U95" s="380"/>
      <c r="V95" s="155"/>
      <c r="W95" s="155"/>
      <c r="X95" s="155"/>
    </row>
    <row r="96" spans="1:24" ht="14.45" customHeight="1" x14ac:dyDescent="0.25">
      <c r="A96" s="318"/>
      <c r="B96" s="316" t="s">
        <v>92</v>
      </c>
      <c r="C96" s="314">
        <f>COUNTIF(C6:C85,"9")</f>
        <v>0</v>
      </c>
      <c r="D96" s="314"/>
      <c r="E96" s="321" t="s">
        <v>78</v>
      </c>
      <c r="F96" s="325">
        <f>COUNTIF(I6:I90,"girl")</f>
        <v>0</v>
      </c>
      <c r="G96" s="381"/>
      <c r="H96" s="381"/>
      <c r="I96" s="248" t="s">
        <v>171</v>
      </c>
      <c r="J96" s="248"/>
      <c r="K96" s="248"/>
      <c r="L96" s="183">
        <f>COUNTIF(L6:L85,"&gt;95")</f>
        <v>0</v>
      </c>
      <c r="M96" s="183">
        <f t="shared" ref="M96:P96" si="27">COUNTIF(M6:M85,"&gt;95")</f>
        <v>0</v>
      </c>
      <c r="N96" s="183">
        <f t="shared" si="27"/>
        <v>0</v>
      </c>
      <c r="O96" s="183">
        <f t="shared" si="27"/>
        <v>0</v>
      </c>
      <c r="P96" s="183">
        <f t="shared" si="27"/>
        <v>0</v>
      </c>
      <c r="Q96" s="183">
        <f t="shared" ref="Q96" si="28">COUNTIF(Q6:Q85,"&gt;95")</f>
        <v>0</v>
      </c>
      <c r="R96" s="199">
        <f>COUNTIF(R6:R85,"&gt;=475")</f>
        <v>0</v>
      </c>
      <c r="S96" s="380"/>
      <c r="T96" s="380"/>
      <c r="U96" s="380"/>
      <c r="V96" s="155"/>
      <c r="W96" s="155"/>
      <c r="X96" s="155"/>
    </row>
    <row r="97" spans="1:22" ht="14.45" customHeight="1" x14ac:dyDescent="0.25">
      <c r="A97" s="318"/>
      <c r="B97" s="316"/>
      <c r="C97" s="314"/>
      <c r="D97" s="314"/>
      <c r="E97" s="321"/>
      <c r="F97" s="325"/>
      <c r="G97" s="381"/>
      <c r="H97" s="381"/>
      <c r="I97" s="249" t="s">
        <v>172</v>
      </c>
      <c r="J97" s="249"/>
      <c r="K97" s="249"/>
      <c r="L97" s="185">
        <f>COUNTIF(L6:L85,"&gt;=91")</f>
        <v>0</v>
      </c>
      <c r="M97" s="185">
        <f t="shared" ref="M97:P97" si="29">COUNTIF(M6:M85,"&gt;=91")</f>
        <v>0</v>
      </c>
      <c r="N97" s="185">
        <f t="shared" si="29"/>
        <v>0</v>
      </c>
      <c r="O97" s="185">
        <f t="shared" si="29"/>
        <v>0</v>
      </c>
      <c r="P97" s="185">
        <f t="shared" si="29"/>
        <v>0</v>
      </c>
      <c r="Q97" s="185">
        <f t="shared" ref="Q97" si="30">COUNTIF(Q6:Q85,"&gt;=91")</f>
        <v>0</v>
      </c>
      <c r="R97" s="185">
        <f>COUNTIF(R6:R85,"&gt;=455")</f>
        <v>0</v>
      </c>
      <c r="S97" s="380"/>
      <c r="T97" s="380"/>
      <c r="U97" s="380"/>
      <c r="V97" s="155"/>
    </row>
    <row r="98" spans="1:22" x14ac:dyDescent="0.25">
      <c r="A98" s="318"/>
      <c r="B98" s="316"/>
      <c r="C98" s="314"/>
      <c r="D98" s="314"/>
      <c r="E98" s="321" t="s">
        <v>79</v>
      </c>
      <c r="F98" s="322">
        <f>COUNTIF(J6:J90,"GEN")</f>
        <v>0</v>
      </c>
      <c r="G98" s="368">
        <f>SUM(F98:F105)</f>
        <v>0</v>
      </c>
      <c r="H98" s="369"/>
      <c r="I98" s="248" t="s">
        <v>173</v>
      </c>
      <c r="J98" s="248"/>
      <c r="K98" s="248"/>
      <c r="L98" s="183">
        <f>COUNTIF(L6:L85,"&gt;=90")-L96</f>
        <v>0</v>
      </c>
      <c r="M98" s="183">
        <f t="shared" ref="M98:P98" si="31">COUNTIF(M6:M85,"&gt;=90")-M96</f>
        <v>0</v>
      </c>
      <c r="N98" s="183">
        <f t="shared" si="31"/>
        <v>0</v>
      </c>
      <c r="O98" s="183">
        <f t="shared" si="31"/>
        <v>0</v>
      </c>
      <c r="P98" s="183">
        <f t="shared" si="31"/>
        <v>0</v>
      </c>
      <c r="Q98" s="183">
        <f t="shared" ref="Q98" si="32">COUNTIF(Q6:Q85,"&gt;=90")-Q96</f>
        <v>0</v>
      </c>
      <c r="R98" s="199">
        <f>COUNTIF(R6:R85,"&gt;=450")-R96</f>
        <v>0</v>
      </c>
      <c r="S98" s="380"/>
      <c r="T98" s="380"/>
      <c r="U98" s="380"/>
    </row>
    <row r="99" spans="1:22" ht="14.45" customHeight="1" x14ac:dyDescent="0.25">
      <c r="A99" s="318"/>
      <c r="B99" s="316"/>
      <c r="C99" s="314"/>
      <c r="D99" s="314"/>
      <c r="E99" s="321"/>
      <c r="F99" s="322"/>
      <c r="G99" s="370"/>
      <c r="H99" s="371"/>
      <c r="I99" s="254" t="s">
        <v>174</v>
      </c>
      <c r="J99" s="255"/>
      <c r="K99" s="253"/>
      <c r="L99" s="189">
        <f>COUNTIF(L6:L85,"&gt;=75")-L97-L96</f>
        <v>0</v>
      </c>
      <c r="M99" s="189">
        <f t="shared" ref="M99:P99" si="33">COUNTIF(M6:M85,"&gt;=75")-M97-M96</f>
        <v>0</v>
      </c>
      <c r="N99" s="189">
        <f t="shared" si="33"/>
        <v>0</v>
      </c>
      <c r="O99" s="189">
        <f t="shared" si="33"/>
        <v>0</v>
      </c>
      <c r="P99" s="189">
        <f t="shared" si="33"/>
        <v>0</v>
      </c>
      <c r="Q99" s="189">
        <f t="shared" ref="Q99" si="34">COUNTIF(Q6:Q85,"&gt;=75")-Q97-Q96</f>
        <v>0</v>
      </c>
      <c r="R99" s="189">
        <f>COUNTIF(R6:R85,"&gt;=375")-R97-R96</f>
        <v>0</v>
      </c>
      <c r="S99" s="380"/>
      <c r="T99" s="380"/>
      <c r="U99" s="380"/>
    </row>
    <row r="100" spans="1:22" ht="14.45" customHeight="1" x14ac:dyDescent="0.25">
      <c r="A100" s="318"/>
      <c r="B100" s="316"/>
      <c r="C100" s="314"/>
      <c r="D100" s="314"/>
      <c r="E100" s="321" t="s">
        <v>74</v>
      </c>
      <c r="F100" s="322">
        <f>COUNTIF(J6:J90,"OBC")</f>
        <v>0</v>
      </c>
      <c r="G100" s="370"/>
      <c r="H100" s="371"/>
      <c r="I100" s="248" t="s">
        <v>260</v>
      </c>
      <c r="J100" s="248"/>
      <c r="K100" s="248"/>
      <c r="L100" s="183">
        <f t="shared" ref="L100:O100" si="35">COUNTIF(L$6:L$85,"&gt;=75")</f>
        <v>0</v>
      </c>
      <c r="M100" s="183">
        <f t="shared" si="35"/>
        <v>0</v>
      </c>
      <c r="N100" s="183">
        <f t="shared" si="35"/>
        <v>0</v>
      </c>
      <c r="O100" s="183">
        <f t="shared" si="35"/>
        <v>0</v>
      </c>
      <c r="P100" s="183">
        <f>COUNTIF(P$6:P$85,"&gt;=75")</f>
        <v>0</v>
      </c>
      <c r="Q100" s="183">
        <f>COUNTIF(Q$6:Q$85,"&gt;=75")</f>
        <v>0</v>
      </c>
      <c r="R100" s="199">
        <f>COUNTIF(R$6:R$85,"&gt;=375")</f>
        <v>0</v>
      </c>
      <c r="S100" s="380"/>
      <c r="T100" s="380"/>
      <c r="U100" s="380"/>
    </row>
    <row r="101" spans="1:22" ht="14.45" customHeight="1" x14ac:dyDescent="0.25">
      <c r="A101" s="318"/>
      <c r="B101" s="316"/>
      <c r="C101" s="314"/>
      <c r="D101" s="314"/>
      <c r="E101" s="321"/>
      <c r="F101" s="322"/>
      <c r="G101" s="370"/>
      <c r="H101" s="371"/>
      <c r="I101" s="249" t="s">
        <v>261</v>
      </c>
      <c r="J101" s="249"/>
      <c r="K101" s="249"/>
      <c r="L101" s="184">
        <f t="shared" ref="L101:O101" si="36">COUNTIF(L$6:L$85,"&gt;=60")-L100</f>
        <v>0</v>
      </c>
      <c r="M101" s="184">
        <f t="shared" si="36"/>
        <v>0</v>
      </c>
      <c r="N101" s="184">
        <f t="shared" si="36"/>
        <v>0</v>
      </c>
      <c r="O101" s="184">
        <f t="shared" si="36"/>
        <v>0</v>
      </c>
      <c r="P101" s="184">
        <f>COUNTIF(P$6:P$85,"&gt;=60")-P100</f>
        <v>0</v>
      </c>
      <c r="Q101" s="184">
        <f>COUNTIF(Q$6:Q$85,"&gt;=60")-Q100</f>
        <v>0</v>
      </c>
      <c r="R101" s="200">
        <f>COUNTIF(R$6:R$85,"&gt;=300")-R100</f>
        <v>0</v>
      </c>
      <c r="S101" s="380"/>
      <c r="T101" s="380"/>
      <c r="U101" s="380"/>
    </row>
    <row r="102" spans="1:22" x14ac:dyDescent="0.25">
      <c r="A102" s="318"/>
      <c r="B102" s="316"/>
      <c r="C102" s="314"/>
      <c r="D102" s="314"/>
      <c r="E102" s="321" t="s">
        <v>26</v>
      </c>
      <c r="F102" s="322">
        <f>COUNTIF(J6:J90,"SC")</f>
        <v>0</v>
      </c>
      <c r="G102" s="370"/>
      <c r="H102" s="371"/>
      <c r="I102" s="248" t="s">
        <v>262</v>
      </c>
      <c r="J102" s="248"/>
      <c r="K102" s="248"/>
      <c r="L102" s="183">
        <f t="shared" ref="L102:O102" si="37">COUNTIF(L$6:L$85,"&gt;=50")-L101-L100</f>
        <v>0</v>
      </c>
      <c r="M102" s="183">
        <f t="shared" si="37"/>
        <v>0</v>
      </c>
      <c r="N102" s="183">
        <f t="shared" si="37"/>
        <v>0</v>
      </c>
      <c r="O102" s="183">
        <f t="shared" si="37"/>
        <v>0</v>
      </c>
      <c r="P102" s="183">
        <f>COUNTIF(P$6:P$85,"&gt;=50")-P101-P100</f>
        <v>0</v>
      </c>
      <c r="Q102" s="183">
        <f>COUNTIF(Q$6:Q$85,"&gt;=50")-Q101-Q100</f>
        <v>0</v>
      </c>
      <c r="R102" s="199">
        <f>COUNTIF(R$6:R$85,"&gt;=250")-R101-R100</f>
        <v>0</v>
      </c>
      <c r="S102" s="380"/>
      <c r="T102" s="380"/>
      <c r="U102" s="380"/>
    </row>
    <row r="103" spans="1:22" ht="14.45" customHeight="1" x14ac:dyDescent="0.25">
      <c r="A103" s="318"/>
      <c r="B103" s="316"/>
      <c r="C103" s="314"/>
      <c r="D103" s="314"/>
      <c r="E103" s="321"/>
      <c r="F103" s="322"/>
      <c r="G103" s="370"/>
      <c r="H103" s="371"/>
      <c r="I103" s="249" t="s">
        <v>263</v>
      </c>
      <c r="J103" s="249"/>
      <c r="K103" s="249"/>
      <c r="L103" s="184">
        <f t="shared" ref="L103:O103" si="38">COUNTIF(L$6:L$85,"&gt;=33")-L102-L101-L100</f>
        <v>0</v>
      </c>
      <c r="M103" s="184">
        <f t="shared" si="38"/>
        <v>0</v>
      </c>
      <c r="N103" s="184">
        <f t="shared" si="38"/>
        <v>0</v>
      </c>
      <c r="O103" s="184">
        <f t="shared" si="38"/>
        <v>0</v>
      </c>
      <c r="P103" s="184">
        <f>COUNTIF(P$6:P$85,"&gt;=33")-P102-P101-P100</f>
        <v>0</v>
      </c>
      <c r="Q103" s="184">
        <f>COUNTIF(Q$6:Q$85,"&gt;=33")-Q102-Q101-Q100</f>
        <v>0</v>
      </c>
      <c r="R103" s="200">
        <f>COUNTIF(R$6:R$85,"&gt;=165")-R102-R101-R100</f>
        <v>0</v>
      </c>
      <c r="S103" s="380"/>
      <c r="T103" s="380"/>
      <c r="U103" s="380"/>
    </row>
    <row r="104" spans="1:22" x14ac:dyDescent="0.25">
      <c r="A104" s="318"/>
      <c r="B104" s="316"/>
      <c r="C104" s="314"/>
      <c r="D104" s="314"/>
      <c r="E104" s="321" t="s">
        <v>27</v>
      </c>
      <c r="F104" s="322">
        <f>COUNTIF(J6:J90,"ST")</f>
        <v>0</v>
      </c>
      <c r="G104" s="370"/>
      <c r="H104" s="371"/>
      <c r="I104" s="248" t="s">
        <v>264</v>
      </c>
      <c r="J104" s="248"/>
      <c r="K104" s="248"/>
      <c r="L104" s="183">
        <f t="shared" ref="L104:O104" si="39">COUNTIF(L$6:L$85,"&lt;33")</f>
        <v>0</v>
      </c>
      <c r="M104" s="183">
        <f t="shared" si="39"/>
        <v>0</v>
      </c>
      <c r="N104" s="183">
        <f t="shared" si="39"/>
        <v>0</v>
      </c>
      <c r="O104" s="183">
        <f t="shared" si="39"/>
        <v>0</v>
      </c>
      <c r="P104" s="183">
        <f>COUNTIF(P$6:P$85,"&lt;33")</f>
        <v>0</v>
      </c>
      <c r="Q104" s="183">
        <f>COUNTIF(Q$6:Q$85,"&lt;33")</f>
        <v>0</v>
      </c>
      <c r="R104" s="199">
        <f>COUNTIF(R$6:R$85,"&lt;165")</f>
        <v>0</v>
      </c>
      <c r="S104" s="380"/>
      <c r="T104" s="380"/>
      <c r="U104" s="380"/>
    </row>
    <row r="105" spans="1:22" ht="14.45" customHeight="1" x14ac:dyDescent="0.25">
      <c r="A105" s="319"/>
      <c r="B105" s="317"/>
      <c r="C105" s="315"/>
      <c r="D105" s="315"/>
      <c r="E105" s="323"/>
      <c r="F105" s="324"/>
      <c r="G105" s="370"/>
      <c r="H105" s="371"/>
      <c r="I105" s="249" t="s">
        <v>175</v>
      </c>
      <c r="J105" s="249"/>
      <c r="K105" s="249"/>
      <c r="L105" s="188">
        <f>COUNTIF(L6:L85,"&gt;=60")</f>
        <v>0</v>
      </c>
      <c r="M105" s="188">
        <f t="shared" ref="M105:P105" si="40">COUNTIF(M6:M85,"&gt;=60")</f>
        <v>0</v>
      </c>
      <c r="N105" s="188">
        <f t="shared" si="40"/>
        <v>0</v>
      </c>
      <c r="O105" s="188">
        <f t="shared" si="40"/>
        <v>0</v>
      </c>
      <c r="P105" s="188">
        <f t="shared" si="40"/>
        <v>0</v>
      </c>
      <c r="Q105" s="188">
        <f t="shared" ref="Q105" si="41">COUNTIF(Q6:Q85,"&gt;=60")</f>
        <v>0</v>
      </c>
      <c r="R105" s="200">
        <f>COUNTIF(R$6:R$85,"&gt;=300")</f>
        <v>0</v>
      </c>
      <c r="S105" s="380"/>
      <c r="T105" s="380"/>
      <c r="U105" s="380"/>
    </row>
    <row r="106" spans="1:22" ht="14.45" customHeight="1" x14ac:dyDescent="0.25">
      <c r="A106" s="320" t="s">
        <v>236</v>
      </c>
      <c r="B106" s="320"/>
      <c r="C106" s="304">
        <f>SUM(C88:D105)</f>
        <v>0</v>
      </c>
      <c r="D106" s="304"/>
      <c r="E106" s="309"/>
      <c r="F106" s="304">
        <f>SUM(F98:F105)</f>
        <v>0</v>
      </c>
      <c r="G106" s="305" t="str">
        <f>IF(AND(SUM(G90:H93),G94,G98),"OK","DATA NOT MATCHED")</f>
        <v>DATA NOT MATCHED</v>
      </c>
      <c r="H106" s="306"/>
      <c r="I106" s="248" t="s">
        <v>176</v>
      </c>
      <c r="J106" s="248"/>
      <c r="K106" s="248"/>
      <c r="L106" s="183" t="e">
        <f t="shared" ref="L106:P106" si="42">(L105/L91)*100</f>
        <v>#DIV/0!</v>
      </c>
      <c r="M106" s="183" t="e">
        <f t="shared" si="42"/>
        <v>#DIV/0!</v>
      </c>
      <c r="N106" s="183" t="e">
        <f t="shared" si="42"/>
        <v>#DIV/0!</v>
      </c>
      <c r="O106" s="183" t="e">
        <f t="shared" si="42"/>
        <v>#DIV/0!</v>
      </c>
      <c r="P106" s="183" t="e">
        <f t="shared" si="42"/>
        <v>#DIV/0!</v>
      </c>
      <c r="Q106" s="183" t="e">
        <f t="shared" ref="Q106" si="43">(Q105/Q91)*100</f>
        <v>#DIV/0!</v>
      </c>
      <c r="R106" s="199" t="e">
        <f>R105/R91*100</f>
        <v>#DIV/0!</v>
      </c>
      <c r="S106" s="380"/>
      <c r="T106" s="380"/>
      <c r="U106" s="380"/>
    </row>
    <row r="107" spans="1:22" ht="14.45" customHeight="1" x14ac:dyDescent="0.25">
      <c r="A107" s="320"/>
      <c r="B107" s="320"/>
      <c r="C107" s="304"/>
      <c r="D107" s="304"/>
      <c r="E107" s="309"/>
      <c r="F107" s="304"/>
      <c r="G107" s="307"/>
      <c r="H107" s="308"/>
      <c r="I107" s="249" t="s">
        <v>177</v>
      </c>
      <c r="J107" s="249"/>
      <c r="K107" s="249"/>
      <c r="L107" s="186" t="e">
        <f>COUNTIF(L6:L85,"&gt;=75")/L91*100</f>
        <v>#DIV/0!</v>
      </c>
      <c r="M107" s="186" t="e">
        <f t="shared" ref="M107:P107" si="44">COUNTIF(M6:M85,"&gt;=75")/M91*100</f>
        <v>#DIV/0!</v>
      </c>
      <c r="N107" s="186" t="e">
        <f t="shared" si="44"/>
        <v>#DIV/0!</v>
      </c>
      <c r="O107" s="186" t="e">
        <f t="shared" si="44"/>
        <v>#DIV/0!</v>
      </c>
      <c r="P107" s="186" t="e">
        <f t="shared" si="44"/>
        <v>#DIV/0!</v>
      </c>
      <c r="Q107" s="186" t="e">
        <f t="shared" ref="Q107" si="45">COUNTIF(Q6:Q85,"&gt;=75")/Q91*100</f>
        <v>#DIV/0!</v>
      </c>
      <c r="R107" s="200" t="e">
        <f>R100/R91*100</f>
        <v>#DIV/0!</v>
      </c>
      <c r="S107" s="380"/>
      <c r="T107" s="380"/>
      <c r="U107" s="380"/>
    </row>
    <row r="108" spans="1:22" ht="16.899999999999999" customHeight="1" x14ac:dyDescent="0.25">
      <c r="A108" s="146"/>
      <c r="B108" s="146"/>
      <c r="C108" s="149"/>
      <c r="D108" s="146"/>
      <c r="E108" s="145"/>
      <c r="F108" s="146"/>
      <c r="G108" s="147"/>
      <c r="H108" s="148"/>
      <c r="I108" s="382" t="s">
        <v>94</v>
      </c>
      <c r="J108" s="382"/>
      <c r="K108" s="383"/>
      <c r="L108" s="360"/>
      <c r="M108" s="360"/>
      <c r="N108" s="360"/>
      <c r="O108" s="360"/>
      <c r="P108" s="366"/>
      <c r="Q108" s="360"/>
      <c r="R108" s="367"/>
      <c r="S108" s="380"/>
      <c r="T108" s="380"/>
      <c r="U108" s="380"/>
    </row>
    <row r="109" spans="1:22" ht="16.899999999999999" customHeight="1" x14ac:dyDescent="0.25">
      <c r="A109" s="146"/>
      <c r="B109" s="146"/>
      <c r="C109" s="149"/>
      <c r="D109" s="146"/>
      <c r="E109" s="145"/>
      <c r="F109" s="146"/>
      <c r="G109" s="148"/>
      <c r="H109" s="162"/>
      <c r="I109" s="384"/>
      <c r="J109" s="384"/>
      <c r="K109" s="385"/>
      <c r="L109" s="361"/>
      <c r="M109" s="361"/>
      <c r="N109" s="361"/>
      <c r="O109" s="361"/>
      <c r="P109" s="366"/>
      <c r="Q109" s="361"/>
      <c r="R109" s="367"/>
      <c r="S109" s="380"/>
      <c r="T109" s="380"/>
      <c r="U109" s="380"/>
    </row>
    <row r="110" spans="1:22" ht="16.899999999999999" customHeight="1" x14ac:dyDescent="0.25">
      <c r="A110" s="146"/>
      <c r="B110" s="146"/>
      <c r="C110" s="149"/>
      <c r="D110" s="146"/>
      <c r="E110" s="145"/>
      <c r="F110" s="146"/>
      <c r="G110" s="148"/>
      <c r="H110" s="150"/>
      <c r="I110" s="384"/>
      <c r="J110" s="384"/>
      <c r="K110" s="385"/>
      <c r="L110" s="361"/>
      <c r="M110" s="361"/>
      <c r="N110" s="361"/>
      <c r="O110" s="361"/>
      <c r="P110" s="366"/>
      <c r="Q110" s="361"/>
      <c r="R110" s="367"/>
      <c r="S110" s="380"/>
      <c r="T110" s="380"/>
      <c r="U110" s="380"/>
    </row>
    <row r="111" spans="1:22" ht="16.899999999999999" customHeight="1" x14ac:dyDescent="0.25">
      <c r="A111" s="146"/>
      <c r="B111" s="146"/>
      <c r="C111" s="149"/>
      <c r="D111" s="146"/>
      <c r="E111" s="145"/>
      <c r="F111" s="146"/>
      <c r="G111" s="148"/>
      <c r="H111" s="150"/>
      <c r="I111" s="384"/>
      <c r="J111" s="384"/>
      <c r="K111" s="385"/>
      <c r="L111" s="361"/>
      <c r="M111" s="361"/>
      <c r="N111" s="361"/>
      <c r="O111" s="361"/>
      <c r="P111" s="366"/>
      <c r="Q111" s="361"/>
      <c r="R111" s="367"/>
      <c r="S111" s="380"/>
      <c r="T111" s="380"/>
      <c r="U111" s="380"/>
    </row>
    <row r="112" spans="1:22" ht="16.899999999999999" customHeight="1" x14ac:dyDescent="0.25">
      <c r="A112" s="146"/>
      <c r="B112" s="146"/>
      <c r="C112" s="149"/>
      <c r="D112" s="146"/>
      <c r="E112" s="145"/>
      <c r="F112" s="146"/>
      <c r="G112" s="148"/>
      <c r="H112" s="150"/>
      <c r="I112" s="384"/>
      <c r="J112" s="384"/>
      <c r="K112" s="385"/>
      <c r="L112" s="362"/>
      <c r="M112" s="362"/>
      <c r="N112" s="362"/>
      <c r="O112" s="362"/>
      <c r="P112" s="366"/>
      <c r="Q112" s="362"/>
      <c r="R112" s="367"/>
      <c r="S112" s="380"/>
      <c r="T112" s="380"/>
      <c r="U112" s="380"/>
    </row>
  </sheetData>
  <sheetProtection algorithmName="SHA-512" hashValue="huZtwN6riMpSK4Z1NL/+7L0GPDYfKK3CzcZvAIunuEcOd8G/bWhCbtYJrYC1p1A8eP9zICkNJDa28yJbD4YiJQ==" saltValue="4PH3oJwvMTeuiaRuLBCLJw==" spinCount="100000" sheet="1" objects="1" scenarios="1"/>
  <autoFilter ref="A5:U112"/>
  <mergeCells count="98">
    <mergeCell ref="I96:K96"/>
    <mergeCell ref="G94:H97"/>
    <mergeCell ref="I108:K112"/>
    <mergeCell ref="I97:K97"/>
    <mergeCell ref="I98:K98"/>
    <mergeCell ref="I99:K99"/>
    <mergeCell ref="I100:K100"/>
    <mergeCell ref="I90:K90"/>
    <mergeCell ref="G98:H105"/>
    <mergeCell ref="G90:H93"/>
    <mergeCell ref="S89:U112"/>
    <mergeCell ref="I105:K105"/>
    <mergeCell ref="I106:K106"/>
    <mergeCell ref="I107:K107"/>
    <mergeCell ref="I102:K102"/>
    <mergeCell ref="I103:K103"/>
    <mergeCell ref="I104:K104"/>
    <mergeCell ref="I101:K101"/>
    <mergeCell ref="I91:K91"/>
    <mergeCell ref="I92:K92"/>
    <mergeCell ref="I93:K93"/>
    <mergeCell ref="I94:K94"/>
    <mergeCell ref="I95:K95"/>
    <mergeCell ref="I89:K89"/>
    <mergeCell ref="L108:L112"/>
    <mergeCell ref="M108:M112"/>
    <mergeCell ref="A3:G3"/>
    <mergeCell ref="J3:R3"/>
    <mergeCell ref="H3:I3"/>
    <mergeCell ref="R4:R5"/>
    <mergeCell ref="I4:I5"/>
    <mergeCell ref="J4:J5"/>
    <mergeCell ref="K4:K5"/>
    <mergeCell ref="N108:N112"/>
    <mergeCell ref="O108:O112"/>
    <mergeCell ref="P108:P112"/>
    <mergeCell ref="R108:R112"/>
    <mergeCell ref="Q108:Q112"/>
    <mergeCell ref="E90:E91"/>
    <mergeCell ref="S3:U3"/>
    <mergeCell ref="A4:A5"/>
    <mergeCell ref="B4:B5"/>
    <mergeCell ref="H4:H5"/>
    <mergeCell ref="E88:H88"/>
    <mergeCell ref="C4:C5"/>
    <mergeCell ref="S4:S5"/>
    <mergeCell ref="D4:D5"/>
    <mergeCell ref="N4:N5"/>
    <mergeCell ref="O4:O5"/>
    <mergeCell ref="P4:P5"/>
    <mergeCell ref="E4:E5"/>
    <mergeCell ref="F4:F5"/>
    <mergeCell ref="G4:G5"/>
    <mergeCell ref="L4:L5"/>
    <mergeCell ref="M4:M5"/>
    <mergeCell ref="V4:V5"/>
    <mergeCell ref="V1:W3"/>
    <mergeCell ref="W4:W5"/>
    <mergeCell ref="S88:U88"/>
    <mergeCell ref="I88:Q88"/>
    <mergeCell ref="O87:Q87"/>
    <mergeCell ref="O86:Q86"/>
    <mergeCell ref="S86:T86"/>
    <mergeCell ref="S87:T87"/>
    <mergeCell ref="U4:U5"/>
    <mergeCell ref="T4:T5"/>
    <mergeCell ref="A1:J1"/>
    <mergeCell ref="K1:M1"/>
    <mergeCell ref="N1:O1"/>
    <mergeCell ref="P1:U1"/>
    <mergeCell ref="A2:U2"/>
    <mergeCell ref="F90:F91"/>
    <mergeCell ref="E92:E93"/>
    <mergeCell ref="F92:F93"/>
    <mergeCell ref="E94:E95"/>
    <mergeCell ref="F94:F95"/>
    <mergeCell ref="E96:E97"/>
    <mergeCell ref="F96:F97"/>
    <mergeCell ref="E98:E99"/>
    <mergeCell ref="F98:F99"/>
    <mergeCell ref="E100:E101"/>
    <mergeCell ref="F100:F101"/>
    <mergeCell ref="F106:F107"/>
    <mergeCell ref="G106:H107"/>
    <mergeCell ref="E106:E107"/>
    <mergeCell ref="C88:D95"/>
    <mergeCell ref="A86:B87"/>
    <mergeCell ref="C86:C87"/>
    <mergeCell ref="B88:B95"/>
    <mergeCell ref="C96:D105"/>
    <mergeCell ref="B96:B105"/>
    <mergeCell ref="A88:A105"/>
    <mergeCell ref="C106:D107"/>
    <mergeCell ref="A106:B107"/>
    <mergeCell ref="E102:E103"/>
    <mergeCell ref="F102:F103"/>
    <mergeCell ref="E104:E105"/>
    <mergeCell ref="F104:F105"/>
  </mergeCells>
  <conditionalFormatting sqref="U6:U85">
    <cfRule type="containsText" dxfId="1" priority="1" operator="containsText" text="Essential Repeat">
      <formula>NOT(ISERROR(SEARCH("Essential Repeat",U6)))</formula>
    </cfRule>
    <cfRule type="containsText" dxfId="0" priority="2" operator="containsText" text="Pass">
      <formula>NOT(ISERROR(SEARCH("Pass",U6)))</formula>
    </cfRule>
  </conditionalFormatting>
  <dataValidations count="7">
    <dataValidation type="list" allowBlank="1" showInputMessage="1" showErrorMessage="1" promptTitle="Alert" prompt="Choose from the List" sqref="J6:J85">
      <formula1>"GEN, OBC,SC,ST"</formula1>
    </dataValidation>
    <dataValidation type="list" allowBlank="1" showInputMessage="1" showErrorMessage="1" promptTitle="Alert" prompt="Choose from the List" sqref="I6:I85">
      <formula1>"Boy,Girl"</formula1>
    </dataValidation>
    <dataValidation type="list" allowBlank="1" showInputMessage="1" showErrorMessage="1" promptTitle="Alert" prompt="Choose from the List" sqref="C6:C85">
      <formula1>"6,9"</formula1>
    </dataValidation>
    <dataValidation type="list" allowBlank="1" showInputMessage="1" showErrorMessage="1" promptTitle="Warning" prompt="Choose from the List only" sqref="P1:U1">
      <formula1>"Bhopal,Chandigarh,Hyderabad,Jaipur,Lucknow,Patna,Pune,Shillong"</formula1>
    </dataValidation>
    <dataValidation type="list" allowBlank="1" showInputMessage="1" showErrorMessage="1" sqref="K6:K85">
      <formula1>"URBAN,RURAL"</formula1>
    </dataValidation>
    <dataValidation type="list" allowBlank="1" showInputMessage="1" showErrorMessage="1" promptTitle="Alert" prompt="Choose from the List" sqref="F6:F85">
      <formula1>"YES,NO"</formula1>
    </dataValidation>
    <dataValidation type="list" allowBlank="1" showInputMessage="1" showErrorMessage="1" sqref="G6:G85">
      <formula1>"YES,NO"</formula1>
    </dataValidation>
  </dataValidations>
  <hyperlinks>
    <hyperlink ref="V1:W3" r:id="rId1" display="https://drive.google.com/file/d/1PdvGzSz6-Oouj3bSxbMV7u0jbMjzGI4D/view?usp=share_link"/>
  </hyperlinks>
  <pageMargins left="0.7" right="0.7" top="0.35" bottom="0.39" header="0.3" footer="0.3"/>
  <pageSetup paperSize="9" scale="77" orientation="landscape" r:id="rId2"/>
  <rowBreaks count="2" manualBreakCount="2">
    <brk id="51" max="19" man="1"/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E47"/>
  <sheetViews>
    <sheetView view="pageBreakPreview" zoomScale="118" zoomScaleSheetLayoutView="118" workbookViewId="0">
      <selection sqref="A1:I1"/>
    </sheetView>
  </sheetViews>
  <sheetFormatPr defaultColWidth="8.85546875" defaultRowHeight="15" x14ac:dyDescent="0.3"/>
  <cols>
    <col min="1" max="1" width="4.42578125" style="5" bestFit="1" customWidth="1"/>
    <col min="2" max="2" width="16.42578125" style="207" customWidth="1"/>
    <col min="3" max="5" width="9.42578125" style="207" customWidth="1"/>
    <col min="6" max="9" width="9.42578125" style="5" customWidth="1"/>
    <col min="10" max="10" width="17" style="5" bestFit="1" customWidth="1"/>
    <col min="11" max="11" width="8.85546875" style="5"/>
    <col min="12" max="12" width="11.28515625" style="5" bestFit="1" customWidth="1"/>
    <col min="13" max="21" width="8.85546875" style="5"/>
    <col min="22" max="22" width="11.28515625" style="5" bestFit="1" customWidth="1"/>
    <col min="23" max="25" width="8.85546875" style="5"/>
    <col min="26" max="27" width="8.140625" style="5" customWidth="1"/>
    <col min="28" max="28" width="7.85546875" style="5" customWidth="1"/>
    <col min="29" max="16384" width="8.85546875" style="5"/>
  </cols>
  <sheetData>
    <row r="1" spans="1:23" ht="14.45" customHeight="1" x14ac:dyDescent="0.3">
      <c r="A1" s="389" t="s">
        <v>10</v>
      </c>
      <c r="B1" s="389"/>
      <c r="C1" s="389"/>
      <c r="D1" s="389"/>
      <c r="E1" s="389"/>
      <c r="F1" s="389"/>
      <c r="G1" s="389"/>
      <c r="H1" s="389"/>
      <c r="I1" s="389"/>
    </row>
    <row r="2" spans="1:23" x14ac:dyDescent="0.3">
      <c r="A2" s="391" t="s">
        <v>229</v>
      </c>
      <c r="B2" s="391"/>
      <c r="C2" s="391"/>
      <c r="D2" s="391"/>
      <c r="E2" s="391"/>
      <c r="F2" s="391"/>
      <c r="G2" s="391"/>
      <c r="H2" s="391"/>
      <c r="I2" s="391"/>
    </row>
    <row r="3" spans="1:23" ht="3.6" customHeight="1" x14ac:dyDescent="0.3"/>
    <row r="4" spans="1:23" s="9" customFormat="1" ht="12.75" x14ac:dyDescent="0.2">
      <c r="A4" s="390" t="s">
        <v>228</v>
      </c>
      <c r="B4" s="390"/>
      <c r="C4" s="390"/>
      <c r="D4" s="390"/>
      <c r="E4" s="390"/>
      <c r="F4" s="390"/>
      <c r="G4" s="390"/>
      <c r="H4" s="390"/>
      <c r="I4" s="390"/>
    </row>
    <row r="5" spans="1:23" ht="3.6" customHeight="1" thickBot="1" x14ac:dyDescent="0.35"/>
    <row r="6" spans="1:23" s="6" customFormat="1" ht="23.25" thickBot="1" x14ac:dyDescent="0.3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11</v>
      </c>
      <c r="G6" s="7" t="s">
        <v>9</v>
      </c>
      <c r="H6" s="7" t="s">
        <v>240</v>
      </c>
      <c r="I6" s="8" t="s">
        <v>256</v>
      </c>
    </row>
    <row r="7" spans="1:23" s="6" customFormat="1" ht="13.5" thickBot="1" x14ac:dyDescent="0.3">
      <c r="A7" s="175">
        <v>1</v>
      </c>
      <c r="B7" s="175">
        <v>2</v>
      </c>
      <c r="C7" s="175">
        <v>3</v>
      </c>
      <c r="D7" s="175">
        <v>4</v>
      </c>
      <c r="E7" s="175">
        <v>5</v>
      </c>
      <c r="F7" s="175">
        <v>6</v>
      </c>
      <c r="G7" s="175">
        <v>7</v>
      </c>
      <c r="H7" s="175">
        <v>8</v>
      </c>
      <c r="I7" s="175">
        <v>9</v>
      </c>
    </row>
    <row r="8" spans="1:23" ht="30" customHeight="1" thickBot="1" x14ac:dyDescent="0.35">
      <c r="A8" s="77">
        <v>1</v>
      </c>
      <c r="B8" s="208" t="str">
        <f>'Result Analysis X'!K1</f>
        <v>Mohindergarh</v>
      </c>
      <c r="C8" s="64">
        <f>'Result Analysis X'!C106</f>
        <v>0</v>
      </c>
      <c r="D8" s="64">
        <f>'Result Analysis X'!U86+'Result Analysis X'!U87</f>
        <v>0</v>
      </c>
      <c r="E8" s="64">
        <f>'Result Analysis X'!U86</f>
        <v>0</v>
      </c>
      <c r="F8" s="64">
        <f>'Result Analysis X'!U87</f>
        <v>0</v>
      </c>
      <c r="G8" s="64">
        <f>COUNTIF($W$6:$W$85,"AB")</f>
        <v>0</v>
      </c>
      <c r="H8" s="76" t="e">
        <f>'Result Analysis X'!R87</f>
        <v>#DIV/0!</v>
      </c>
      <c r="I8" s="213"/>
    </row>
    <row r="11" spans="1:23" x14ac:dyDescent="0.3">
      <c r="A11" s="180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398" t="s">
        <v>12</v>
      </c>
      <c r="V11" s="398"/>
      <c r="W11" s="398"/>
    </row>
    <row r="12" spans="1:23" ht="23.25" x14ac:dyDescent="0.3">
      <c r="A12" s="399" t="s">
        <v>221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</row>
    <row r="13" spans="1:23" x14ac:dyDescent="0.3">
      <c r="A13" s="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ht="15.75" x14ac:dyDescent="0.3">
      <c r="A14" s="400" t="s">
        <v>230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</row>
    <row r="15" spans="1:23" ht="15.75" thickBot="1" x14ac:dyDescent="0.35">
      <c r="A15" s="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 ht="15.75" thickBot="1" x14ac:dyDescent="0.35">
      <c r="A16" s="293" t="s">
        <v>2</v>
      </c>
      <c r="B16" s="293" t="s">
        <v>42</v>
      </c>
      <c r="C16" s="293" t="s">
        <v>43</v>
      </c>
      <c r="D16" s="293" t="s">
        <v>44</v>
      </c>
      <c r="E16" s="293" t="s">
        <v>45</v>
      </c>
      <c r="F16" s="293" t="s">
        <v>231</v>
      </c>
      <c r="G16" s="293"/>
      <c r="H16" s="293"/>
      <c r="I16" s="293"/>
      <c r="J16" s="293"/>
      <c r="K16" s="293"/>
      <c r="L16" s="293"/>
      <c r="M16" s="293"/>
      <c r="N16" s="293"/>
      <c r="O16" s="293" t="s">
        <v>232</v>
      </c>
      <c r="P16" s="293"/>
      <c r="Q16" s="293"/>
      <c r="R16" s="293"/>
      <c r="S16" s="293"/>
      <c r="T16" s="293"/>
      <c r="U16" s="293"/>
      <c r="V16" s="293"/>
      <c r="W16" s="293"/>
    </row>
    <row r="17" spans="1:31" ht="15.75" thickBot="1" x14ac:dyDescent="0.35">
      <c r="A17" s="293"/>
      <c r="B17" s="293"/>
      <c r="C17" s="293"/>
      <c r="D17" s="293"/>
      <c r="E17" s="293"/>
      <c r="F17" s="294" t="s">
        <v>46</v>
      </c>
      <c r="G17" s="294"/>
      <c r="H17" s="294"/>
      <c r="I17" s="294"/>
      <c r="J17" s="294"/>
      <c r="K17" s="294"/>
      <c r="L17" s="294"/>
      <c r="M17" s="294"/>
      <c r="N17" s="294"/>
      <c r="O17" s="294" t="s">
        <v>47</v>
      </c>
      <c r="P17" s="294"/>
      <c r="Q17" s="294"/>
      <c r="R17" s="294"/>
      <c r="S17" s="294"/>
      <c r="T17" s="294"/>
      <c r="U17" s="294"/>
      <c r="V17" s="294"/>
      <c r="W17" s="294"/>
    </row>
    <row r="18" spans="1:31" ht="23.25" thickBot="1" x14ac:dyDescent="0.35">
      <c r="A18" s="296"/>
      <c r="B18" s="296"/>
      <c r="C18" s="296"/>
      <c r="D18" s="296"/>
      <c r="E18" s="296"/>
      <c r="F18" s="46" t="s">
        <v>48</v>
      </c>
      <c r="G18" s="46" t="s">
        <v>49</v>
      </c>
      <c r="H18" s="46" t="s">
        <v>247</v>
      </c>
      <c r="I18" s="45" t="s">
        <v>248</v>
      </c>
      <c r="J18" s="45" t="s">
        <v>249</v>
      </c>
      <c r="K18" s="45" t="s">
        <v>250</v>
      </c>
      <c r="L18" s="45" t="s">
        <v>251</v>
      </c>
      <c r="M18" s="46" t="s">
        <v>252</v>
      </c>
      <c r="N18" s="46" t="s">
        <v>253</v>
      </c>
      <c r="O18" s="46" t="s">
        <v>48</v>
      </c>
      <c r="P18" s="46" t="s">
        <v>49</v>
      </c>
      <c r="Q18" s="46" t="s">
        <v>247</v>
      </c>
      <c r="R18" s="45" t="s">
        <v>248</v>
      </c>
      <c r="S18" s="45" t="s">
        <v>249</v>
      </c>
      <c r="T18" s="45" t="s">
        <v>250</v>
      </c>
      <c r="U18" s="45" t="s">
        <v>251</v>
      </c>
      <c r="V18" s="45" t="s">
        <v>252</v>
      </c>
      <c r="W18" s="46" t="s">
        <v>253</v>
      </c>
    </row>
    <row r="19" spans="1:31" ht="15.75" thickBot="1" x14ac:dyDescent="0.35">
      <c r="A19" s="46">
        <v>1</v>
      </c>
      <c r="B19" s="46">
        <v>2</v>
      </c>
      <c r="C19" s="46">
        <v>3</v>
      </c>
      <c r="D19" s="46">
        <v>4</v>
      </c>
      <c r="E19" s="46">
        <v>5</v>
      </c>
      <c r="F19" s="46">
        <v>6</v>
      </c>
      <c r="G19" s="46">
        <v>7</v>
      </c>
      <c r="H19" s="46">
        <v>8</v>
      </c>
      <c r="I19" s="45">
        <v>9</v>
      </c>
      <c r="J19" s="45">
        <v>10</v>
      </c>
      <c r="K19" s="45">
        <v>11</v>
      </c>
      <c r="L19" s="45">
        <v>12</v>
      </c>
      <c r="M19" s="46">
        <v>13</v>
      </c>
      <c r="N19" s="46">
        <v>14</v>
      </c>
      <c r="O19" s="46">
        <v>15</v>
      </c>
      <c r="P19" s="46">
        <v>16</v>
      </c>
      <c r="Q19" s="46">
        <v>17</v>
      </c>
      <c r="R19" s="45">
        <v>18</v>
      </c>
      <c r="S19" s="45">
        <v>19</v>
      </c>
      <c r="T19" s="45">
        <v>20</v>
      </c>
      <c r="U19" s="45">
        <v>21</v>
      </c>
      <c r="V19" s="46">
        <v>22</v>
      </c>
      <c r="W19" s="46">
        <v>23</v>
      </c>
    </row>
    <row r="20" spans="1:31" ht="76.5" thickBot="1" x14ac:dyDescent="0.35">
      <c r="A20" s="4">
        <v>1</v>
      </c>
      <c r="B20" s="209" t="s">
        <v>80</v>
      </c>
      <c r="C20" s="210" t="s">
        <v>81</v>
      </c>
      <c r="D20" s="210" t="s">
        <v>82</v>
      </c>
      <c r="E20" s="210" t="s">
        <v>83</v>
      </c>
      <c r="F20" s="64">
        <f>COUNTIF('Result Analysis X'!$C$6:$C$85,"6")</f>
        <v>0</v>
      </c>
      <c r="G20" s="64">
        <f>COUNTIFS('Result Analysis X'!$C$6:$C$85,"6",'Result Analysis X'!$U$6:$U$85,"pass")</f>
        <v>0</v>
      </c>
      <c r="H20" s="64">
        <f>COUNTIFS('Result Analysis X'!$C$6:$C$85,"6",'Result Analysis X'!$S$6:$S$85,"&lt;33")</f>
        <v>0</v>
      </c>
      <c r="I20" s="64">
        <f>COUNTIFS('Result Analysis X'!$C$6:$C$85,"6",'Result Analysis X'!$S$6:$S$85,"&gt;=33")-J20-K20-L20-M20</f>
        <v>0</v>
      </c>
      <c r="J20" s="64">
        <f>COUNTIFS('Result Analysis X'!$C$6:$C$85,"6",'Result Analysis X'!$S$6:$S$85,"&gt;=50")-K20-L20-M20</f>
        <v>0</v>
      </c>
      <c r="K20" s="64">
        <f>COUNTIFS('Result Analysis X'!$C$6:$C$85,"6",'Result Analysis X'!$S$6:$S$85,"&gt;=60")-L20-M20</f>
        <v>0</v>
      </c>
      <c r="L20" s="64">
        <f>COUNTIFS('Result Analysis X'!$C$6:$C$85,"6",'Result Analysis X'!$S$6:$S$85,"&gt;=75")-M20</f>
        <v>0</v>
      </c>
      <c r="M20" s="64">
        <f>COUNTIFS('Result Analysis X'!$C$6:$C$85,"6",'Result Analysis X'!$S$6:$S$85,"&gt;=90")</f>
        <v>0</v>
      </c>
      <c r="N20" s="64">
        <f>COUNTIFS('Result Analysis X'!$C$6:$C$85,"6",'Result Analysis X'!$S$6:$S$85,"&gt;=95")</f>
        <v>0</v>
      </c>
      <c r="O20" s="64">
        <f>COUNTIF('Result Analysis X'!$C$6:$C$85,"6")</f>
        <v>0</v>
      </c>
      <c r="P20" s="64">
        <f>COUNTIFS('Result Analysis X'!$C$6:$C$85,"9",'Result Analysis X'!$U$6:$U$85,"pass")</f>
        <v>0</v>
      </c>
      <c r="Q20" s="64">
        <f>COUNTIFS('Result Analysis X'!$C$6:$C$85,"9",'Result Analysis X'!$S$6:$S$85,"&lt;33")</f>
        <v>0</v>
      </c>
      <c r="R20" s="64">
        <f>COUNTIFS('Result Analysis X'!$C$6:$C$85,"9",'Result Analysis X'!$S$6:$S$85,"&gt;=33")-S20-T20-U20-V20</f>
        <v>0</v>
      </c>
      <c r="S20" s="64">
        <f>COUNTIFS('Result Analysis X'!$C$6:$C$85,"9",'Result Analysis X'!$S$6:$S$85,"&gt;=50")-T20-U20-V20</f>
        <v>0</v>
      </c>
      <c r="T20" s="64">
        <f>COUNTIFS('Result Analysis X'!$C$6:$C$85,"9",'Result Analysis X'!$S$6:$S$85,"&gt;=60")-U20-V20</f>
        <v>0</v>
      </c>
      <c r="U20" s="64">
        <f>COUNTIFS('Result Analysis X'!$C$6:$C$85,"9",'Result Analysis X'!$S$6:$S$85,"&gt;=75")-V20</f>
        <v>0</v>
      </c>
      <c r="V20" s="64">
        <f>COUNTIFS('Result Analysis X'!$C$6:$C$85,"9",'Result Analysis X'!$S$6:$S$85,"&gt;=90")</f>
        <v>0</v>
      </c>
      <c r="W20" s="64">
        <f>COUNTIFS('Result Analysis X'!$C$6:$C$85,"9",'Result Analysis X'!$S$6:$S$85,"&gt;=95")</f>
        <v>0</v>
      </c>
    </row>
    <row r="24" spans="1:31" x14ac:dyDescent="0.3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392" t="s">
        <v>64</v>
      </c>
      <c r="AD24" s="392"/>
      <c r="AE24" s="392"/>
    </row>
    <row r="25" spans="1:31" ht="18" x14ac:dyDescent="0.3">
      <c r="A25" s="395" t="s">
        <v>3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</row>
    <row r="26" spans="1:31" x14ac:dyDescent="0.3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x14ac:dyDescent="0.3">
      <c r="A27" s="396" t="s">
        <v>254</v>
      </c>
      <c r="B27" s="396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</row>
    <row r="28" spans="1:31" ht="15.75" thickBot="1" x14ac:dyDescent="0.3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ht="15.75" thickBot="1" x14ac:dyDescent="0.35">
      <c r="A29" s="293" t="s">
        <v>2</v>
      </c>
      <c r="B29" s="293" t="s">
        <v>57</v>
      </c>
      <c r="C29" s="293" t="s">
        <v>44</v>
      </c>
      <c r="D29" s="294" t="s">
        <v>45</v>
      </c>
      <c r="E29" s="294" t="s">
        <v>58</v>
      </c>
      <c r="F29" s="294"/>
      <c r="G29" s="294"/>
      <c r="H29" s="294"/>
      <c r="I29" s="294"/>
      <c r="J29" s="294"/>
      <c r="K29" s="294"/>
      <c r="L29" s="294"/>
      <c r="M29" s="294"/>
      <c r="N29" s="294" t="s">
        <v>59</v>
      </c>
      <c r="O29" s="294"/>
      <c r="P29" s="294"/>
      <c r="Q29" s="294"/>
      <c r="R29" s="294"/>
      <c r="S29" s="294"/>
      <c r="T29" s="294"/>
      <c r="U29" s="294"/>
      <c r="V29" s="294"/>
      <c r="W29" s="294" t="s">
        <v>60</v>
      </c>
      <c r="X29" s="294"/>
      <c r="Y29" s="294"/>
      <c r="Z29" s="294"/>
      <c r="AA29" s="294"/>
      <c r="AB29" s="294"/>
      <c r="AC29" s="294"/>
      <c r="AD29" s="294"/>
      <c r="AE29" s="294"/>
    </row>
    <row r="30" spans="1:31" ht="15.75" thickBot="1" x14ac:dyDescent="0.35">
      <c r="A30" s="294"/>
      <c r="B30" s="293"/>
      <c r="C30" s="293"/>
      <c r="D30" s="294"/>
      <c r="E30" s="294" t="s">
        <v>61</v>
      </c>
      <c r="F30" s="294"/>
      <c r="G30" s="294"/>
      <c r="H30" s="294"/>
      <c r="I30" s="294"/>
      <c r="J30" s="294"/>
      <c r="K30" s="294"/>
      <c r="L30" s="294"/>
      <c r="M30" s="294"/>
      <c r="N30" s="294" t="s">
        <v>47</v>
      </c>
      <c r="O30" s="294"/>
      <c r="P30" s="294"/>
      <c r="Q30" s="294"/>
      <c r="R30" s="294"/>
      <c r="S30" s="294"/>
      <c r="T30" s="294"/>
      <c r="U30" s="294"/>
      <c r="V30" s="294"/>
      <c r="W30" s="294" t="s">
        <v>46</v>
      </c>
      <c r="X30" s="294"/>
      <c r="Y30" s="294"/>
      <c r="Z30" s="294"/>
      <c r="AA30" s="294"/>
      <c r="AB30" s="294"/>
      <c r="AC30" s="294"/>
      <c r="AD30" s="294"/>
      <c r="AE30" s="294"/>
    </row>
    <row r="31" spans="1:31" ht="23.25" thickBot="1" x14ac:dyDescent="0.35">
      <c r="A31" s="397"/>
      <c r="B31" s="296"/>
      <c r="C31" s="296"/>
      <c r="D31" s="397"/>
      <c r="E31" s="46" t="s">
        <v>48</v>
      </c>
      <c r="F31" s="46" t="s">
        <v>49</v>
      </c>
      <c r="G31" s="46" t="s">
        <v>247</v>
      </c>
      <c r="H31" s="45" t="s">
        <v>248</v>
      </c>
      <c r="I31" s="45" t="s">
        <v>249</v>
      </c>
      <c r="J31" s="45" t="s">
        <v>250</v>
      </c>
      <c r="K31" s="45" t="s">
        <v>251</v>
      </c>
      <c r="L31" s="45" t="s">
        <v>252</v>
      </c>
      <c r="M31" s="46" t="s">
        <v>253</v>
      </c>
      <c r="N31" s="46" t="s">
        <v>48</v>
      </c>
      <c r="O31" s="46" t="s">
        <v>49</v>
      </c>
      <c r="P31" s="46" t="s">
        <v>247</v>
      </c>
      <c r="Q31" s="45" t="s">
        <v>248</v>
      </c>
      <c r="R31" s="46" t="s">
        <v>249</v>
      </c>
      <c r="S31" s="46" t="s">
        <v>250</v>
      </c>
      <c r="T31" s="46" t="s">
        <v>251</v>
      </c>
      <c r="U31" s="46" t="s">
        <v>252</v>
      </c>
      <c r="V31" s="46" t="s">
        <v>253</v>
      </c>
      <c r="W31" s="46" t="s">
        <v>48</v>
      </c>
      <c r="X31" s="46" t="s">
        <v>49</v>
      </c>
      <c r="Y31" s="46" t="s">
        <v>247</v>
      </c>
      <c r="Z31" s="46" t="s">
        <v>248</v>
      </c>
      <c r="AA31" s="46" t="s">
        <v>249</v>
      </c>
      <c r="AB31" s="46" t="s">
        <v>250</v>
      </c>
      <c r="AC31" s="46" t="s">
        <v>251</v>
      </c>
      <c r="AD31" s="46" t="s">
        <v>252</v>
      </c>
      <c r="AE31" s="46" t="s">
        <v>253</v>
      </c>
    </row>
    <row r="32" spans="1:31" ht="15.75" thickBot="1" x14ac:dyDescent="0.35">
      <c r="A32" s="45">
        <v>1</v>
      </c>
      <c r="B32" s="46">
        <v>2</v>
      </c>
      <c r="C32" s="46">
        <v>3</v>
      </c>
      <c r="D32" s="45">
        <v>4</v>
      </c>
      <c r="E32" s="46">
        <v>5</v>
      </c>
      <c r="F32" s="46">
        <v>6</v>
      </c>
      <c r="G32" s="46">
        <v>7</v>
      </c>
      <c r="H32" s="45">
        <v>8</v>
      </c>
      <c r="I32" s="45">
        <v>9</v>
      </c>
      <c r="J32" s="45">
        <v>10</v>
      </c>
      <c r="K32" s="45">
        <v>11</v>
      </c>
      <c r="L32" s="46">
        <v>12</v>
      </c>
      <c r="M32" s="46">
        <v>13</v>
      </c>
      <c r="N32" s="46">
        <v>14</v>
      </c>
      <c r="O32" s="46">
        <v>15</v>
      </c>
      <c r="P32" s="46">
        <v>16</v>
      </c>
      <c r="Q32" s="45">
        <v>17</v>
      </c>
      <c r="R32" s="45">
        <v>18</v>
      </c>
      <c r="S32" s="45">
        <v>19</v>
      </c>
      <c r="T32" s="45">
        <v>20</v>
      </c>
      <c r="U32" s="46">
        <v>21</v>
      </c>
      <c r="V32" s="46">
        <v>22</v>
      </c>
      <c r="W32" s="46">
        <v>23</v>
      </c>
      <c r="X32" s="46">
        <v>24</v>
      </c>
      <c r="Y32" s="46">
        <v>25</v>
      </c>
      <c r="Z32" s="45">
        <v>26</v>
      </c>
      <c r="AA32" s="45">
        <v>27</v>
      </c>
      <c r="AB32" s="45">
        <v>28</v>
      </c>
      <c r="AC32" s="45">
        <v>29</v>
      </c>
      <c r="AD32" s="46">
        <v>30</v>
      </c>
      <c r="AE32" s="46">
        <v>31</v>
      </c>
    </row>
    <row r="33" spans="1:31" ht="48.75" thickBot="1" x14ac:dyDescent="0.35">
      <c r="A33" s="4">
        <v>1</v>
      </c>
      <c r="B33" s="209" t="s">
        <v>85</v>
      </c>
      <c r="C33" s="210" t="s">
        <v>82</v>
      </c>
      <c r="D33" s="210" t="s">
        <v>83</v>
      </c>
      <c r="E33" s="64">
        <f>COUNTIF('Result Analysis X'!$J$6:$J$85,"OBC")</f>
        <v>0</v>
      </c>
      <c r="F33" s="64">
        <f>COUNTIFS('Result Analysis X'!$J$6:$J$85,"OBC",'Result Analysis X'!$U$6:$U$85,"pass")</f>
        <v>0</v>
      </c>
      <c r="G33" s="64">
        <f>COUNTIFS('Result Analysis X'!$J$6:$J$85,"OBC",'Result Analysis X'!$S$6:$S$85,"&lt;33")</f>
        <v>0</v>
      </c>
      <c r="H33" s="64">
        <f>COUNTIFS('Result Analysis X'!$J$6:$J$85,"OBC",'Result Analysis X'!$S$6:$S$85,"&gt;=33")-I33-J33-K33-L33</f>
        <v>0</v>
      </c>
      <c r="I33" s="64">
        <f>COUNTIFS('Result Analysis X'!$J$6:$J$85,"OBC",'Result Analysis X'!$S$6:$S$85,"&gt;=50")-J33-K33-L33</f>
        <v>0</v>
      </c>
      <c r="J33" s="64">
        <f>COUNTIFS('Result Analysis X'!$J$6:$J$85,"OBC",'Result Analysis X'!$S$6:$S$85,"&gt;=60")-K33-L33</f>
        <v>0</v>
      </c>
      <c r="K33" s="64">
        <f>COUNTIFS('Result Analysis X'!$J$6:$J$85,"OBC",'Result Analysis X'!$S$6:$S$85,"&gt;=75")-L33</f>
        <v>0</v>
      </c>
      <c r="L33" s="64">
        <f>COUNTIFS('Result Analysis X'!$J$6:$J$85,"OBC",'Result Analysis X'!$S$6:$S$85,"&gt;=90")</f>
        <v>0</v>
      </c>
      <c r="M33" s="64">
        <f>COUNTIFS('Result Analysis X'!$J$6:$J$85,"OBC",'Result Analysis X'!S$6:S$85,"&gt;=95")</f>
        <v>0</v>
      </c>
      <c r="N33" s="64">
        <f>COUNTIF('Result Analysis X'!$G$6:$G$85,"YES")</f>
        <v>0</v>
      </c>
      <c r="O33" s="64">
        <f>COUNTIFS('Result Analysis X'!G6:G85,"YES",'Result Analysis X'!$U$6:$U$85,"pass")</f>
        <v>0</v>
      </c>
      <c r="P33" s="64">
        <f>COUNTIFS('Result Analysis X'!$G$6:$G$85,"YES",'Result Analysis X'!$S$6:$S$85,"&lt;33")</f>
        <v>0</v>
      </c>
      <c r="Q33" s="64">
        <f>COUNTIFS('Result Analysis X'!$G$6:$G$85,"YES",'Result Analysis X'!$S$6:$S$85,"&gt;=33")-R33-S33-T33-U33</f>
        <v>0</v>
      </c>
      <c r="R33" s="64">
        <f>COUNTIFS('Result Analysis X'!$G$6:$G$85,"YES",'Result Analysis X'!$S$6:$S$85,"&gt;=50")-S33-T33-U33</f>
        <v>0</v>
      </c>
      <c r="S33" s="64">
        <f>COUNTIFS('Result Analysis X'!$G$6:$G$85,"YES",'Result Analysis X'!$S$6:$S$85,"&gt;=60")-T33-U33</f>
        <v>0</v>
      </c>
      <c r="T33" s="64">
        <f>COUNTIFS('Result Analysis X'!$G$6:$G$85,"YES",'Result Analysis X'!$S$6:$S$85,"&gt;=75")-U33</f>
        <v>0</v>
      </c>
      <c r="U33" s="64">
        <f>COUNTIFS('Result Analysis X'!$G$6:$G$85,"YES",'Result Analysis X'!$S$6:$S$85,"&gt;=90")</f>
        <v>0</v>
      </c>
      <c r="V33" s="64">
        <f>COUNTIFS('Result Analysis X'!$G$6:$G$85,"YES",'Result Analysis X'!$S$6:$S$85,"&gt;=95")</f>
        <v>0</v>
      </c>
      <c r="W33" s="64">
        <f>COUNTIF('Result Analysis X'!$F$6:$F$85,"YES")</f>
        <v>0</v>
      </c>
      <c r="X33" s="64">
        <f>COUNTIFS('Result Analysis X'!$F$6:$F$85,"YES",'Result Analysis X'!$U$6:$U$85,"pass")</f>
        <v>0</v>
      </c>
      <c r="Y33" s="64">
        <f>COUNTIFS('Result Analysis X'!$F$6:$F$85,"YES",'Result Analysis X'!$S$6:$S$85,"&lt;33")</f>
        <v>0</v>
      </c>
      <c r="Z33" s="64">
        <f>COUNTIFS('Result Analysis X'!$F$6:$F$85,"YES",'Result Analysis X'!$S$6:$S$85,"&gt;=33")-AA33-AB33-AC33-AD33</f>
        <v>0</v>
      </c>
      <c r="AA33" s="64">
        <f>COUNTIFS('Result Analysis X'!$F$6:$F$85,"YES",'Result Analysis X'!$S$6:$S$85,"&gt;=50")-AB33-AC33-AD33</f>
        <v>0</v>
      </c>
      <c r="AB33" s="64">
        <f>COUNTIFS('Result Analysis X'!$F$6:$F$85,"YES",'Result Analysis X'!$S$6:$S$85,"&gt;=60")-AC33-AD33</f>
        <v>0</v>
      </c>
      <c r="AC33" s="64">
        <f>COUNTIFS('Result Analysis X'!$F$6:$F$85,"YES",'Result Analysis X'!$S$6:$S$85,"&gt;=75")-AD33</f>
        <v>0</v>
      </c>
      <c r="AD33" s="64">
        <f>COUNTIFS('Result Analysis X'!$F$6:$F$85,"YES",'Result Analysis X'!$S$6:$S$85,"&gt;=90")</f>
        <v>0</v>
      </c>
      <c r="AE33" s="64">
        <f>COUNTIFS('Result Analysis X'!$G$6:$G$85,"YES",'Result Analysis X'!$S$6:$S$85,"&gt;=95")</f>
        <v>0</v>
      </c>
    </row>
    <row r="37" spans="1:31" x14ac:dyDescent="0.3">
      <c r="A37" s="3"/>
      <c r="B37" s="54"/>
      <c r="C37" s="54"/>
      <c r="D37" s="54"/>
      <c r="E37" s="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92"/>
      <c r="V37" s="392"/>
      <c r="W37" s="392"/>
    </row>
    <row r="38" spans="1:31" ht="18" x14ac:dyDescent="0.3">
      <c r="A38" s="393" t="s">
        <v>65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</row>
    <row r="39" spans="1:31" x14ac:dyDescent="0.3">
      <c r="A39" s="3"/>
      <c r="B39" s="54"/>
      <c r="C39" s="54"/>
      <c r="D39" s="54"/>
      <c r="E39" s="54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1:31" ht="12" customHeight="1" x14ac:dyDescent="0.3">
      <c r="A40" s="394" t="s">
        <v>246</v>
      </c>
      <c r="B40" s="394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</row>
    <row r="41" spans="1:31" ht="15.75" thickBot="1" x14ac:dyDescent="0.3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1:31" ht="15.75" thickBot="1" x14ac:dyDescent="0.35">
      <c r="A42" s="293" t="s">
        <v>2</v>
      </c>
      <c r="B42" s="293" t="s">
        <v>42</v>
      </c>
      <c r="C42" s="294" t="s">
        <v>43</v>
      </c>
      <c r="D42" s="294" t="s">
        <v>44</v>
      </c>
      <c r="E42" s="294" t="s">
        <v>45</v>
      </c>
      <c r="F42" s="294" t="s">
        <v>62</v>
      </c>
      <c r="G42" s="294"/>
      <c r="H42" s="294"/>
      <c r="I42" s="294"/>
      <c r="J42" s="294"/>
      <c r="K42" s="294"/>
      <c r="L42" s="294"/>
      <c r="M42" s="294"/>
      <c r="N42" s="294"/>
      <c r="O42" s="294" t="s">
        <v>63</v>
      </c>
      <c r="P42" s="294"/>
      <c r="Q42" s="294"/>
      <c r="R42" s="294"/>
      <c r="S42" s="294"/>
      <c r="T42" s="294"/>
      <c r="U42" s="294"/>
      <c r="V42" s="294"/>
      <c r="W42" s="294"/>
    </row>
    <row r="43" spans="1:31" ht="15.75" thickBot="1" x14ac:dyDescent="0.35">
      <c r="A43" s="294"/>
      <c r="B43" s="293"/>
      <c r="C43" s="294"/>
      <c r="D43" s="294"/>
      <c r="E43" s="294"/>
      <c r="F43" s="294" t="s">
        <v>46</v>
      </c>
      <c r="G43" s="294"/>
      <c r="H43" s="294"/>
      <c r="I43" s="294"/>
      <c r="J43" s="294"/>
      <c r="K43" s="294"/>
      <c r="L43" s="294"/>
      <c r="M43" s="294"/>
      <c r="N43" s="294"/>
      <c r="O43" s="294" t="s">
        <v>47</v>
      </c>
      <c r="P43" s="294"/>
      <c r="Q43" s="294"/>
      <c r="R43" s="294"/>
      <c r="S43" s="294"/>
      <c r="T43" s="294"/>
      <c r="U43" s="294"/>
      <c r="V43" s="294"/>
      <c r="W43" s="294"/>
    </row>
    <row r="44" spans="1:31" ht="23.25" thickBot="1" x14ac:dyDescent="0.35">
      <c r="A44" s="294"/>
      <c r="B44" s="293"/>
      <c r="C44" s="294"/>
      <c r="D44" s="294"/>
      <c r="E44" s="294"/>
      <c r="F44" s="46" t="s">
        <v>48</v>
      </c>
      <c r="G44" s="46" t="s">
        <v>49</v>
      </c>
      <c r="H44" s="46" t="s">
        <v>247</v>
      </c>
      <c r="I44" s="45" t="s">
        <v>248</v>
      </c>
      <c r="J44" s="45" t="s">
        <v>249</v>
      </c>
      <c r="K44" s="45" t="s">
        <v>250</v>
      </c>
      <c r="L44" s="45" t="s">
        <v>251</v>
      </c>
      <c r="M44" s="45" t="s">
        <v>252</v>
      </c>
      <c r="N44" s="46" t="s">
        <v>253</v>
      </c>
      <c r="O44" s="46" t="s">
        <v>48</v>
      </c>
      <c r="P44" s="46" t="s">
        <v>49</v>
      </c>
      <c r="Q44" s="46" t="s">
        <v>247</v>
      </c>
      <c r="R44" s="45" t="s">
        <v>248</v>
      </c>
      <c r="S44" s="45" t="s">
        <v>249</v>
      </c>
      <c r="T44" s="45" t="s">
        <v>250</v>
      </c>
      <c r="U44" s="45" t="s">
        <v>251</v>
      </c>
      <c r="V44" s="45" t="s">
        <v>252</v>
      </c>
      <c r="W44" s="46" t="s">
        <v>253</v>
      </c>
    </row>
    <row r="45" spans="1:31" ht="15.75" thickBot="1" x14ac:dyDescent="0.35">
      <c r="A45" s="45">
        <v>1</v>
      </c>
      <c r="B45" s="46">
        <v>2</v>
      </c>
      <c r="C45" s="45">
        <v>3</v>
      </c>
      <c r="D45" s="45">
        <v>4</v>
      </c>
      <c r="E45" s="45">
        <v>5</v>
      </c>
      <c r="F45" s="46">
        <v>6</v>
      </c>
      <c r="G45" s="46">
        <v>7</v>
      </c>
      <c r="H45" s="46">
        <v>8</v>
      </c>
      <c r="I45" s="45">
        <v>9</v>
      </c>
      <c r="J45" s="45">
        <v>10</v>
      </c>
      <c r="K45" s="45">
        <v>11</v>
      </c>
      <c r="L45" s="45">
        <v>12</v>
      </c>
      <c r="M45" s="45">
        <v>13</v>
      </c>
      <c r="N45" s="46">
        <v>14</v>
      </c>
      <c r="O45" s="46">
        <v>15</v>
      </c>
      <c r="P45" s="46">
        <v>16</v>
      </c>
      <c r="Q45" s="46">
        <v>17</v>
      </c>
      <c r="R45" s="45">
        <v>18</v>
      </c>
      <c r="S45" s="45">
        <v>19</v>
      </c>
      <c r="T45" s="45">
        <v>20</v>
      </c>
      <c r="U45" s="45">
        <v>21</v>
      </c>
      <c r="V45" s="45">
        <v>22</v>
      </c>
      <c r="W45" s="46">
        <v>23</v>
      </c>
    </row>
    <row r="46" spans="1:31" ht="76.5" thickBot="1" x14ac:dyDescent="0.35">
      <c r="A46" s="4">
        <v>1</v>
      </c>
      <c r="B46" s="211" t="s">
        <v>80</v>
      </c>
      <c r="C46" s="210" t="str">
        <f>'Result Analysis X'!K1</f>
        <v>Mohindergarh</v>
      </c>
      <c r="D46" s="212" t="s">
        <v>82</v>
      </c>
      <c r="E46" s="210" t="str">
        <f>'Result Analysis X'!P1</f>
        <v>Jaipur</v>
      </c>
      <c r="F46" s="78">
        <f>COUNTIF('Result Analysis X'!$K$6:$K$85,"rural")</f>
        <v>0</v>
      </c>
      <c r="G46" s="64">
        <f>COUNTIFS('Result Analysis X'!$K$6:$K$85,"RURAL",'Result Analysis X'!$U$6:$U$85,"pass")</f>
        <v>0</v>
      </c>
      <c r="H46" s="64">
        <f>COUNTIFS('Result Analysis X'!$K$6:$K$85,"RURAL",'Result Analysis X'!$S$6:$S$85,"&lt;33")</f>
        <v>0</v>
      </c>
      <c r="I46" s="64">
        <f>COUNTIFS('Result Analysis X'!$K$6:$K$85,"RURAL",'Result Analysis X'!$S$6:$S$85,"&gt;=33")-J46-K46-L46-M46</f>
        <v>0</v>
      </c>
      <c r="J46" s="64">
        <f>COUNTIFS('Result Analysis X'!$K$6:$K$85,"RURAL",'Result Analysis X'!$S$6:$S$85,"&gt;=50")-K46-L46-M46</f>
        <v>0</v>
      </c>
      <c r="K46" s="64">
        <f>COUNTIFS('Result Analysis X'!$K$6:$K$85,"RURAL",'Result Analysis X'!$S$6:$S$85,"&gt;=60")-L46-M46</f>
        <v>0</v>
      </c>
      <c r="L46" s="64">
        <f>COUNTIFS('Result Analysis X'!$K$6:$K$85,"RURAL",'Result Analysis X'!$S$6:$S$85,"&gt;=75")-M46</f>
        <v>0</v>
      </c>
      <c r="M46" s="64">
        <f>COUNTIFS('Result Analysis X'!$K$6:$K$85,"RURAL",'Result Analysis X'!$S$6:$S$85,"&gt;=90")</f>
        <v>0</v>
      </c>
      <c r="N46" s="64">
        <f>COUNTIFS('Result Analysis X'!$K$6:$K$85,"RURAL",'Result Analysis X'!$S$6:$S$85,"&gt;=95")</f>
        <v>0</v>
      </c>
      <c r="O46" s="78">
        <f>COUNTIF('Result Analysis X'!$K$6:$K$85,"URBAN")</f>
        <v>0</v>
      </c>
      <c r="P46" s="64">
        <f>COUNTIFS('Result Analysis X'!$K$6:$K$85,"URBAN",'Result Analysis X'!$U$6:$U$85,"pass")</f>
        <v>0</v>
      </c>
      <c r="Q46" s="64">
        <f>COUNTIFS('Result Analysis X'!$K$6:$K$85,"URBAN",'Result Analysis X'!$S$6:$S$85,"&lt;33")</f>
        <v>0</v>
      </c>
      <c r="R46" s="64">
        <f>COUNTIFS('Result Analysis X'!$K$6:$K$85,"URBAN",'Result Analysis X'!$S$6:$S$85,"&gt;=33")-S46-T46-U46-V46</f>
        <v>0</v>
      </c>
      <c r="S46" s="64">
        <f>COUNTIFS('Result Analysis X'!$K$6:$K$85,"URBAN",'Result Analysis X'!$S$6:$S$85,"&gt;=50")-T46-U46-V46</f>
        <v>0</v>
      </c>
      <c r="T46" s="64">
        <f>COUNTIFS('Result Analysis X'!$K$6:$K$85,"URBAN",'Result Analysis X'!$S$6:$S$85,"&gt;=60")-U46-V46</f>
        <v>0</v>
      </c>
      <c r="U46" s="64">
        <f>COUNTIFS('Result Analysis X'!$K$6:$K$85,"URBAN",'Result Analysis X'!$S$6:$S$85,"&gt;=75")-V46</f>
        <v>0</v>
      </c>
      <c r="V46" s="64">
        <f>COUNTIFS('Result Analysis X'!$K$6:$K$85,"URBAN",'Result Analysis X'!$S$6:$S$85,"&gt;=90")</f>
        <v>0</v>
      </c>
      <c r="W46" s="64">
        <f>COUNTIFS('Result Analysis X'!$K$6:$K$85,"URBAN",'Result Analysis X'!$S$6:$S$85,"&gt;=95")</f>
        <v>0</v>
      </c>
    </row>
    <row r="47" spans="1:31" ht="15.75" thickBot="1" x14ac:dyDescent="0.35">
      <c r="A47" s="386" t="s">
        <v>29</v>
      </c>
      <c r="B47" s="387"/>
      <c r="C47" s="387"/>
      <c r="D47" s="387"/>
      <c r="E47" s="388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3"/>
    </row>
  </sheetData>
  <mergeCells count="41">
    <mergeCell ref="U11:W11"/>
    <mergeCell ref="A12:W12"/>
    <mergeCell ref="A14:W14"/>
    <mergeCell ref="A16:A18"/>
    <mergeCell ref="B16:B18"/>
    <mergeCell ref="C16:C18"/>
    <mergeCell ref="D16:D18"/>
    <mergeCell ref="E16:E18"/>
    <mergeCell ref="F16:N16"/>
    <mergeCell ref="O16:W16"/>
    <mergeCell ref="F17:N17"/>
    <mergeCell ref="O17:W17"/>
    <mergeCell ref="AC24:AE24"/>
    <mergeCell ref="A25:AE25"/>
    <mergeCell ref="A27:AE27"/>
    <mergeCell ref="A29:A31"/>
    <mergeCell ref="B29:B31"/>
    <mergeCell ref="C29:C31"/>
    <mergeCell ref="D29:D31"/>
    <mergeCell ref="E29:M29"/>
    <mergeCell ref="N29:V29"/>
    <mergeCell ref="W29:AE29"/>
    <mergeCell ref="E30:M30"/>
    <mergeCell ref="N30:V30"/>
    <mergeCell ref="W30:AE30"/>
    <mergeCell ref="A47:E47"/>
    <mergeCell ref="A1:I1"/>
    <mergeCell ref="A4:I4"/>
    <mergeCell ref="A2:I2"/>
    <mergeCell ref="U37:W37"/>
    <mergeCell ref="A38:W38"/>
    <mergeCell ref="A40:W40"/>
    <mergeCell ref="A42:A44"/>
    <mergeCell ref="B42:B44"/>
    <mergeCell ref="C42:C44"/>
    <mergeCell ref="D42:D44"/>
    <mergeCell ref="E42:E44"/>
    <mergeCell ref="F42:N42"/>
    <mergeCell ref="O42:W42"/>
    <mergeCell ref="F43:N43"/>
    <mergeCell ref="O43:W43"/>
  </mergeCells>
  <printOptions horizontalCentered="1"/>
  <pageMargins left="0.5" right="0.5" top="0.75" bottom="0.75" header="0.16" footer="0.16"/>
  <pageSetup scale="80" orientation="landscape" r:id="rId1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"/>
  <sheetViews>
    <sheetView workbookViewId="0">
      <selection activeCell="D1" sqref="A1:X9"/>
    </sheetView>
  </sheetViews>
  <sheetFormatPr defaultColWidth="8.85546875" defaultRowHeight="15" x14ac:dyDescent="0.25"/>
  <cols>
    <col min="1" max="1" width="3.42578125" style="3" bestFit="1" customWidth="1"/>
    <col min="2" max="2" width="18" style="3" customWidth="1"/>
    <col min="3" max="3" width="11.7109375" style="3" customWidth="1"/>
    <col min="4" max="8" width="15.7109375" style="3" customWidth="1"/>
    <col min="9" max="256" width="8.85546875" style="3"/>
    <col min="257" max="257" width="3.42578125" style="3" bestFit="1" customWidth="1"/>
    <col min="258" max="258" width="18" style="3" customWidth="1"/>
    <col min="259" max="259" width="11.7109375" style="3" customWidth="1"/>
    <col min="260" max="264" width="15.7109375" style="3" customWidth="1"/>
    <col min="265" max="512" width="8.85546875" style="3"/>
    <col min="513" max="513" width="3.42578125" style="3" bestFit="1" customWidth="1"/>
    <col min="514" max="514" width="18" style="3" customWidth="1"/>
    <col min="515" max="515" width="11.7109375" style="3" customWidth="1"/>
    <col min="516" max="520" width="15.7109375" style="3" customWidth="1"/>
    <col min="521" max="768" width="8.85546875" style="3"/>
    <col min="769" max="769" width="3.42578125" style="3" bestFit="1" customWidth="1"/>
    <col min="770" max="770" width="18" style="3" customWidth="1"/>
    <col min="771" max="771" width="11.7109375" style="3" customWidth="1"/>
    <col min="772" max="776" width="15.7109375" style="3" customWidth="1"/>
    <col min="777" max="1024" width="8.85546875" style="3"/>
    <col min="1025" max="1025" width="3.42578125" style="3" bestFit="1" customWidth="1"/>
    <col min="1026" max="1026" width="18" style="3" customWidth="1"/>
    <col min="1027" max="1027" width="11.7109375" style="3" customWidth="1"/>
    <col min="1028" max="1032" width="15.7109375" style="3" customWidth="1"/>
    <col min="1033" max="1280" width="8.85546875" style="3"/>
    <col min="1281" max="1281" width="3.42578125" style="3" bestFit="1" customWidth="1"/>
    <col min="1282" max="1282" width="18" style="3" customWidth="1"/>
    <col min="1283" max="1283" width="11.7109375" style="3" customWidth="1"/>
    <col min="1284" max="1288" width="15.7109375" style="3" customWidth="1"/>
    <col min="1289" max="1536" width="8.85546875" style="3"/>
    <col min="1537" max="1537" width="3.42578125" style="3" bestFit="1" customWidth="1"/>
    <col min="1538" max="1538" width="18" style="3" customWidth="1"/>
    <col min="1539" max="1539" width="11.7109375" style="3" customWidth="1"/>
    <col min="1540" max="1544" width="15.7109375" style="3" customWidth="1"/>
    <col min="1545" max="1792" width="8.85546875" style="3"/>
    <col min="1793" max="1793" width="3.42578125" style="3" bestFit="1" customWidth="1"/>
    <col min="1794" max="1794" width="18" style="3" customWidth="1"/>
    <col min="1795" max="1795" width="11.7109375" style="3" customWidth="1"/>
    <col min="1796" max="1800" width="15.7109375" style="3" customWidth="1"/>
    <col min="1801" max="2048" width="8.85546875" style="3"/>
    <col min="2049" max="2049" width="3.42578125" style="3" bestFit="1" customWidth="1"/>
    <col min="2050" max="2050" width="18" style="3" customWidth="1"/>
    <col min="2051" max="2051" width="11.7109375" style="3" customWidth="1"/>
    <col min="2052" max="2056" width="15.7109375" style="3" customWidth="1"/>
    <col min="2057" max="2304" width="8.85546875" style="3"/>
    <col min="2305" max="2305" width="3.42578125" style="3" bestFit="1" customWidth="1"/>
    <col min="2306" max="2306" width="18" style="3" customWidth="1"/>
    <col min="2307" max="2307" width="11.7109375" style="3" customWidth="1"/>
    <col min="2308" max="2312" width="15.7109375" style="3" customWidth="1"/>
    <col min="2313" max="2560" width="8.85546875" style="3"/>
    <col min="2561" max="2561" width="3.42578125" style="3" bestFit="1" customWidth="1"/>
    <col min="2562" max="2562" width="18" style="3" customWidth="1"/>
    <col min="2563" max="2563" width="11.7109375" style="3" customWidth="1"/>
    <col min="2564" max="2568" width="15.7109375" style="3" customWidth="1"/>
    <col min="2569" max="2816" width="8.85546875" style="3"/>
    <col min="2817" max="2817" width="3.42578125" style="3" bestFit="1" customWidth="1"/>
    <col min="2818" max="2818" width="18" style="3" customWidth="1"/>
    <col min="2819" max="2819" width="11.7109375" style="3" customWidth="1"/>
    <col min="2820" max="2824" width="15.7109375" style="3" customWidth="1"/>
    <col min="2825" max="3072" width="8.85546875" style="3"/>
    <col min="3073" max="3073" width="3.42578125" style="3" bestFit="1" customWidth="1"/>
    <col min="3074" max="3074" width="18" style="3" customWidth="1"/>
    <col min="3075" max="3075" width="11.7109375" style="3" customWidth="1"/>
    <col min="3076" max="3080" width="15.7109375" style="3" customWidth="1"/>
    <col min="3081" max="3328" width="8.85546875" style="3"/>
    <col min="3329" max="3329" width="3.42578125" style="3" bestFit="1" customWidth="1"/>
    <col min="3330" max="3330" width="18" style="3" customWidth="1"/>
    <col min="3331" max="3331" width="11.7109375" style="3" customWidth="1"/>
    <col min="3332" max="3336" width="15.7109375" style="3" customWidth="1"/>
    <col min="3337" max="3584" width="8.85546875" style="3"/>
    <col min="3585" max="3585" width="3.42578125" style="3" bestFit="1" customWidth="1"/>
    <col min="3586" max="3586" width="18" style="3" customWidth="1"/>
    <col min="3587" max="3587" width="11.7109375" style="3" customWidth="1"/>
    <col min="3588" max="3592" width="15.7109375" style="3" customWidth="1"/>
    <col min="3593" max="3840" width="8.85546875" style="3"/>
    <col min="3841" max="3841" width="3.42578125" style="3" bestFit="1" customWidth="1"/>
    <col min="3842" max="3842" width="18" style="3" customWidth="1"/>
    <col min="3843" max="3843" width="11.7109375" style="3" customWidth="1"/>
    <col min="3844" max="3848" width="15.7109375" style="3" customWidth="1"/>
    <col min="3849" max="4096" width="8.85546875" style="3"/>
    <col min="4097" max="4097" width="3.42578125" style="3" bestFit="1" customWidth="1"/>
    <col min="4098" max="4098" width="18" style="3" customWidth="1"/>
    <col min="4099" max="4099" width="11.7109375" style="3" customWidth="1"/>
    <col min="4100" max="4104" width="15.7109375" style="3" customWidth="1"/>
    <col min="4105" max="4352" width="8.85546875" style="3"/>
    <col min="4353" max="4353" width="3.42578125" style="3" bestFit="1" customWidth="1"/>
    <col min="4354" max="4354" width="18" style="3" customWidth="1"/>
    <col min="4355" max="4355" width="11.7109375" style="3" customWidth="1"/>
    <col min="4356" max="4360" width="15.7109375" style="3" customWidth="1"/>
    <col min="4361" max="4608" width="8.85546875" style="3"/>
    <col min="4609" max="4609" width="3.42578125" style="3" bestFit="1" customWidth="1"/>
    <col min="4610" max="4610" width="18" style="3" customWidth="1"/>
    <col min="4611" max="4611" width="11.7109375" style="3" customWidth="1"/>
    <col min="4612" max="4616" width="15.7109375" style="3" customWidth="1"/>
    <col min="4617" max="4864" width="8.85546875" style="3"/>
    <col min="4865" max="4865" width="3.42578125" style="3" bestFit="1" customWidth="1"/>
    <col min="4866" max="4866" width="18" style="3" customWidth="1"/>
    <col min="4867" max="4867" width="11.7109375" style="3" customWidth="1"/>
    <col min="4868" max="4872" width="15.7109375" style="3" customWidth="1"/>
    <col min="4873" max="5120" width="8.85546875" style="3"/>
    <col min="5121" max="5121" width="3.42578125" style="3" bestFit="1" customWidth="1"/>
    <col min="5122" max="5122" width="18" style="3" customWidth="1"/>
    <col min="5123" max="5123" width="11.7109375" style="3" customWidth="1"/>
    <col min="5124" max="5128" width="15.7109375" style="3" customWidth="1"/>
    <col min="5129" max="5376" width="8.85546875" style="3"/>
    <col min="5377" max="5377" width="3.42578125" style="3" bestFit="1" customWidth="1"/>
    <col min="5378" max="5378" width="18" style="3" customWidth="1"/>
    <col min="5379" max="5379" width="11.7109375" style="3" customWidth="1"/>
    <col min="5380" max="5384" width="15.7109375" style="3" customWidth="1"/>
    <col min="5385" max="5632" width="8.85546875" style="3"/>
    <col min="5633" max="5633" width="3.42578125" style="3" bestFit="1" customWidth="1"/>
    <col min="5634" max="5634" width="18" style="3" customWidth="1"/>
    <col min="5635" max="5635" width="11.7109375" style="3" customWidth="1"/>
    <col min="5636" max="5640" width="15.7109375" style="3" customWidth="1"/>
    <col min="5641" max="5888" width="8.85546875" style="3"/>
    <col min="5889" max="5889" width="3.42578125" style="3" bestFit="1" customWidth="1"/>
    <col min="5890" max="5890" width="18" style="3" customWidth="1"/>
    <col min="5891" max="5891" width="11.7109375" style="3" customWidth="1"/>
    <col min="5892" max="5896" width="15.7109375" style="3" customWidth="1"/>
    <col min="5897" max="6144" width="8.85546875" style="3"/>
    <col min="6145" max="6145" width="3.42578125" style="3" bestFit="1" customWidth="1"/>
    <col min="6146" max="6146" width="18" style="3" customWidth="1"/>
    <col min="6147" max="6147" width="11.7109375" style="3" customWidth="1"/>
    <col min="6148" max="6152" width="15.7109375" style="3" customWidth="1"/>
    <col min="6153" max="6400" width="8.85546875" style="3"/>
    <col min="6401" max="6401" width="3.42578125" style="3" bestFit="1" customWidth="1"/>
    <col min="6402" max="6402" width="18" style="3" customWidth="1"/>
    <col min="6403" max="6403" width="11.7109375" style="3" customWidth="1"/>
    <col min="6404" max="6408" width="15.7109375" style="3" customWidth="1"/>
    <col min="6409" max="6656" width="8.85546875" style="3"/>
    <col min="6657" max="6657" width="3.42578125" style="3" bestFit="1" customWidth="1"/>
    <col min="6658" max="6658" width="18" style="3" customWidth="1"/>
    <col min="6659" max="6659" width="11.7109375" style="3" customWidth="1"/>
    <col min="6660" max="6664" width="15.7109375" style="3" customWidth="1"/>
    <col min="6665" max="6912" width="8.85546875" style="3"/>
    <col min="6913" max="6913" width="3.42578125" style="3" bestFit="1" customWidth="1"/>
    <col min="6914" max="6914" width="18" style="3" customWidth="1"/>
    <col min="6915" max="6915" width="11.7109375" style="3" customWidth="1"/>
    <col min="6916" max="6920" width="15.7109375" style="3" customWidth="1"/>
    <col min="6921" max="7168" width="8.85546875" style="3"/>
    <col min="7169" max="7169" width="3.42578125" style="3" bestFit="1" customWidth="1"/>
    <col min="7170" max="7170" width="18" style="3" customWidth="1"/>
    <col min="7171" max="7171" width="11.7109375" style="3" customWidth="1"/>
    <col min="7172" max="7176" width="15.7109375" style="3" customWidth="1"/>
    <col min="7177" max="7424" width="8.85546875" style="3"/>
    <col min="7425" max="7425" width="3.42578125" style="3" bestFit="1" customWidth="1"/>
    <col min="7426" max="7426" width="18" style="3" customWidth="1"/>
    <col min="7427" max="7427" width="11.7109375" style="3" customWidth="1"/>
    <col min="7428" max="7432" width="15.7109375" style="3" customWidth="1"/>
    <col min="7433" max="7680" width="8.85546875" style="3"/>
    <col min="7681" max="7681" width="3.42578125" style="3" bestFit="1" customWidth="1"/>
    <col min="7682" max="7682" width="18" style="3" customWidth="1"/>
    <col min="7683" max="7683" width="11.7109375" style="3" customWidth="1"/>
    <col min="7684" max="7688" width="15.7109375" style="3" customWidth="1"/>
    <col min="7689" max="7936" width="8.85546875" style="3"/>
    <col min="7937" max="7937" width="3.42578125" style="3" bestFit="1" customWidth="1"/>
    <col min="7938" max="7938" width="18" style="3" customWidth="1"/>
    <col min="7939" max="7939" width="11.7109375" style="3" customWidth="1"/>
    <col min="7940" max="7944" width="15.7109375" style="3" customWidth="1"/>
    <col min="7945" max="8192" width="8.85546875" style="3"/>
    <col min="8193" max="8193" width="3.42578125" style="3" bestFit="1" customWidth="1"/>
    <col min="8194" max="8194" width="18" style="3" customWidth="1"/>
    <col min="8195" max="8195" width="11.7109375" style="3" customWidth="1"/>
    <col min="8196" max="8200" width="15.7109375" style="3" customWidth="1"/>
    <col min="8201" max="8448" width="8.85546875" style="3"/>
    <col min="8449" max="8449" width="3.42578125" style="3" bestFit="1" customWidth="1"/>
    <col min="8450" max="8450" width="18" style="3" customWidth="1"/>
    <col min="8451" max="8451" width="11.7109375" style="3" customWidth="1"/>
    <col min="8452" max="8456" width="15.7109375" style="3" customWidth="1"/>
    <col min="8457" max="8704" width="8.85546875" style="3"/>
    <col min="8705" max="8705" width="3.42578125" style="3" bestFit="1" customWidth="1"/>
    <col min="8706" max="8706" width="18" style="3" customWidth="1"/>
    <col min="8707" max="8707" width="11.7109375" style="3" customWidth="1"/>
    <col min="8708" max="8712" width="15.7109375" style="3" customWidth="1"/>
    <col min="8713" max="8960" width="8.85546875" style="3"/>
    <col min="8961" max="8961" width="3.42578125" style="3" bestFit="1" customWidth="1"/>
    <col min="8962" max="8962" width="18" style="3" customWidth="1"/>
    <col min="8963" max="8963" width="11.7109375" style="3" customWidth="1"/>
    <col min="8964" max="8968" width="15.7109375" style="3" customWidth="1"/>
    <col min="8969" max="9216" width="8.85546875" style="3"/>
    <col min="9217" max="9217" width="3.42578125" style="3" bestFit="1" customWidth="1"/>
    <col min="9218" max="9218" width="18" style="3" customWidth="1"/>
    <col min="9219" max="9219" width="11.7109375" style="3" customWidth="1"/>
    <col min="9220" max="9224" width="15.7109375" style="3" customWidth="1"/>
    <col min="9225" max="9472" width="8.85546875" style="3"/>
    <col min="9473" max="9473" width="3.42578125" style="3" bestFit="1" customWidth="1"/>
    <col min="9474" max="9474" width="18" style="3" customWidth="1"/>
    <col min="9475" max="9475" width="11.7109375" style="3" customWidth="1"/>
    <col min="9476" max="9480" width="15.7109375" style="3" customWidth="1"/>
    <col min="9481" max="9728" width="8.85546875" style="3"/>
    <col min="9729" max="9729" width="3.42578125" style="3" bestFit="1" customWidth="1"/>
    <col min="9730" max="9730" width="18" style="3" customWidth="1"/>
    <col min="9731" max="9731" width="11.7109375" style="3" customWidth="1"/>
    <col min="9732" max="9736" width="15.7109375" style="3" customWidth="1"/>
    <col min="9737" max="9984" width="8.85546875" style="3"/>
    <col min="9985" max="9985" width="3.42578125" style="3" bestFit="1" customWidth="1"/>
    <col min="9986" max="9986" width="18" style="3" customWidth="1"/>
    <col min="9987" max="9987" width="11.7109375" style="3" customWidth="1"/>
    <col min="9988" max="9992" width="15.7109375" style="3" customWidth="1"/>
    <col min="9993" max="10240" width="8.85546875" style="3"/>
    <col min="10241" max="10241" width="3.42578125" style="3" bestFit="1" customWidth="1"/>
    <col min="10242" max="10242" width="18" style="3" customWidth="1"/>
    <col min="10243" max="10243" width="11.7109375" style="3" customWidth="1"/>
    <col min="10244" max="10248" width="15.7109375" style="3" customWidth="1"/>
    <col min="10249" max="10496" width="8.85546875" style="3"/>
    <col min="10497" max="10497" width="3.42578125" style="3" bestFit="1" customWidth="1"/>
    <col min="10498" max="10498" width="18" style="3" customWidth="1"/>
    <col min="10499" max="10499" width="11.7109375" style="3" customWidth="1"/>
    <col min="10500" max="10504" width="15.7109375" style="3" customWidth="1"/>
    <col min="10505" max="10752" width="8.85546875" style="3"/>
    <col min="10753" max="10753" width="3.42578125" style="3" bestFit="1" customWidth="1"/>
    <col min="10754" max="10754" width="18" style="3" customWidth="1"/>
    <col min="10755" max="10755" width="11.7109375" style="3" customWidth="1"/>
    <col min="10756" max="10760" width="15.7109375" style="3" customWidth="1"/>
    <col min="10761" max="11008" width="8.85546875" style="3"/>
    <col min="11009" max="11009" width="3.42578125" style="3" bestFit="1" customWidth="1"/>
    <col min="11010" max="11010" width="18" style="3" customWidth="1"/>
    <col min="11011" max="11011" width="11.7109375" style="3" customWidth="1"/>
    <col min="11012" max="11016" width="15.7109375" style="3" customWidth="1"/>
    <col min="11017" max="11264" width="8.85546875" style="3"/>
    <col min="11265" max="11265" width="3.42578125" style="3" bestFit="1" customWidth="1"/>
    <col min="11266" max="11266" width="18" style="3" customWidth="1"/>
    <col min="11267" max="11267" width="11.7109375" style="3" customWidth="1"/>
    <col min="11268" max="11272" width="15.7109375" style="3" customWidth="1"/>
    <col min="11273" max="11520" width="8.85546875" style="3"/>
    <col min="11521" max="11521" width="3.42578125" style="3" bestFit="1" customWidth="1"/>
    <col min="11522" max="11522" width="18" style="3" customWidth="1"/>
    <col min="11523" max="11523" width="11.7109375" style="3" customWidth="1"/>
    <col min="11524" max="11528" width="15.7109375" style="3" customWidth="1"/>
    <col min="11529" max="11776" width="8.85546875" style="3"/>
    <col min="11777" max="11777" width="3.42578125" style="3" bestFit="1" customWidth="1"/>
    <col min="11778" max="11778" width="18" style="3" customWidth="1"/>
    <col min="11779" max="11779" width="11.7109375" style="3" customWidth="1"/>
    <col min="11780" max="11784" width="15.7109375" style="3" customWidth="1"/>
    <col min="11785" max="12032" width="8.85546875" style="3"/>
    <col min="12033" max="12033" width="3.42578125" style="3" bestFit="1" customWidth="1"/>
    <col min="12034" max="12034" width="18" style="3" customWidth="1"/>
    <col min="12035" max="12035" width="11.7109375" style="3" customWidth="1"/>
    <col min="12036" max="12040" width="15.7109375" style="3" customWidth="1"/>
    <col min="12041" max="12288" width="8.85546875" style="3"/>
    <col min="12289" max="12289" width="3.42578125" style="3" bestFit="1" customWidth="1"/>
    <col min="12290" max="12290" width="18" style="3" customWidth="1"/>
    <col min="12291" max="12291" width="11.7109375" style="3" customWidth="1"/>
    <col min="12292" max="12296" width="15.7109375" style="3" customWidth="1"/>
    <col min="12297" max="12544" width="8.85546875" style="3"/>
    <col min="12545" max="12545" width="3.42578125" style="3" bestFit="1" customWidth="1"/>
    <col min="12546" max="12546" width="18" style="3" customWidth="1"/>
    <col min="12547" max="12547" width="11.7109375" style="3" customWidth="1"/>
    <col min="12548" max="12552" width="15.7109375" style="3" customWidth="1"/>
    <col min="12553" max="12800" width="8.85546875" style="3"/>
    <col min="12801" max="12801" width="3.42578125" style="3" bestFit="1" customWidth="1"/>
    <col min="12802" max="12802" width="18" style="3" customWidth="1"/>
    <col min="12803" max="12803" width="11.7109375" style="3" customWidth="1"/>
    <col min="12804" max="12808" width="15.7109375" style="3" customWidth="1"/>
    <col min="12809" max="13056" width="8.85546875" style="3"/>
    <col min="13057" max="13057" width="3.42578125" style="3" bestFit="1" customWidth="1"/>
    <col min="13058" max="13058" width="18" style="3" customWidth="1"/>
    <col min="13059" max="13059" width="11.7109375" style="3" customWidth="1"/>
    <col min="13060" max="13064" width="15.7109375" style="3" customWidth="1"/>
    <col min="13065" max="13312" width="8.85546875" style="3"/>
    <col min="13313" max="13313" width="3.42578125" style="3" bestFit="1" customWidth="1"/>
    <col min="13314" max="13314" width="18" style="3" customWidth="1"/>
    <col min="13315" max="13315" width="11.7109375" style="3" customWidth="1"/>
    <col min="13316" max="13320" width="15.7109375" style="3" customWidth="1"/>
    <col min="13321" max="13568" width="8.85546875" style="3"/>
    <col min="13569" max="13569" width="3.42578125" style="3" bestFit="1" customWidth="1"/>
    <col min="13570" max="13570" width="18" style="3" customWidth="1"/>
    <col min="13571" max="13571" width="11.7109375" style="3" customWidth="1"/>
    <col min="13572" max="13576" width="15.7109375" style="3" customWidth="1"/>
    <col min="13577" max="13824" width="8.85546875" style="3"/>
    <col min="13825" max="13825" width="3.42578125" style="3" bestFit="1" customWidth="1"/>
    <col min="13826" max="13826" width="18" style="3" customWidth="1"/>
    <col min="13827" max="13827" width="11.7109375" style="3" customWidth="1"/>
    <col min="13828" max="13832" width="15.7109375" style="3" customWidth="1"/>
    <col min="13833" max="14080" width="8.85546875" style="3"/>
    <col min="14081" max="14081" width="3.42578125" style="3" bestFit="1" customWidth="1"/>
    <col min="14082" max="14082" width="18" style="3" customWidth="1"/>
    <col min="14083" max="14083" width="11.7109375" style="3" customWidth="1"/>
    <col min="14084" max="14088" width="15.7109375" style="3" customWidth="1"/>
    <col min="14089" max="14336" width="8.85546875" style="3"/>
    <col min="14337" max="14337" width="3.42578125" style="3" bestFit="1" customWidth="1"/>
    <col min="14338" max="14338" width="18" style="3" customWidth="1"/>
    <col min="14339" max="14339" width="11.7109375" style="3" customWidth="1"/>
    <col min="14340" max="14344" width="15.7109375" style="3" customWidth="1"/>
    <col min="14345" max="14592" width="8.85546875" style="3"/>
    <col min="14593" max="14593" width="3.42578125" style="3" bestFit="1" customWidth="1"/>
    <col min="14594" max="14594" width="18" style="3" customWidth="1"/>
    <col min="14595" max="14595" width="11.7109375" style="3" customWidth="1"/>
    <col min="14596" max="14600" width="15.7109375" style="3" customWidth="1"/>
    <col min="14601" max="14848" width="8.85546875" style="3"/>
    <col min="14849" max="14849" width="3.42578125" style="3" bestFit="1" customWidth="1"/>
    <col min="14850" max="14850" width="18" style="3" customWidth="1"/>
    <col min="14851" max="14851" width="11.7109375" style="3" customWidth="1"/>
    <col min="14852" max="14856" width="15.7109375" style="3" customWidth="1"/>
    <col min="14857" max="15104" width="8.85546875" style="3"/>
    <col min="15105" max="15105" width="3.42578125" style="3" bestFit="1" customWidth="1"/>
    <col min="15106" max="15106" width="18" style="3" customWidth="1"/>
    <col min="15107" max="15107" width="11.7109375" style="3" customWidth="1"/>
    <col min="15108" max="15112" width="15.7109375" style="3" customWidth="1"/>
    <col min="15113" max="15360" width="8.85546875" style="3"/>
    <col min="15361" max="15361" width="3.42578125" style="3" bestFit="1" customWidth="1"/>
    <col min="15362" max="15362" width="18" style="3" customWidth="1"/>
    <col min="15363" max="15363" width="11.7109375" style="3" customWidth="1"/>
    <col min="15364" max="15368" width="15.7109375" style="3" customWidth="1"/>
    <col min="15369" max="15616" width="8.85546875" style="3"/>
    <col min="15617" max="15617" width="3.42578125" style="3" bestFit="1" customWidth="1"/>
    <col min="15618" max="15618" width="18" style="3" customWidth="1"/>
    <col min="15619" max="15619" width="11.7109375" style="3" customWidth="1"/>
    <col min="15620" max="15624" width="15.7109375" style="3" customWidth="1"/>
    <col min="15625" max="15872" width="8.85546875" style="3"/>
    <col min="15873" max="15873" width="3.42578125" style="3" bestFit="1" customWidth="1"/>
    <col min="15874" max="15874" width="18" style="3" customWidth="1"/>
    <col min="15875" max="15875" width="11.7109375" style="3" customWidth="1"/>
    <col min="15876" max="15880" width="15.7109375" style="3" customWidth="1"/>
    <col min="15881" max="16128" width="8.85546875" style="3"/>
    <col min="16129" max="16129" width="3.42578125" style="3" bestFit="1" customWidth="1"/>
    <col min="16130" max="16130" width="18" style="3" customWidth="1"/>
    <col min="16131" max="16131" width="11.7109375" style="3" customWidth="1"/>
    <col min="16132" max="16136" width="15.7109375" style="3" customWidth="1"/>
    <col min="16137" max="16384" width="8.85546875" style="3"/>
  </cols>
  <sheetData>
    <row r="1" spans="1:8" x14ac:dyDescent="0.25">
      <c r="A1" s="169"/>
      <c r="B1" s="169"/>
      <c r="C1" s="169"/>
      <c r="D1" s="169"/>
      <c r="E1" s="169"/>
      <c r="F1" s="169"/>
      <c r="G1" s="303" t="s">
        <v>102</v>
      </c>
      <c r="H1" s="303"/>
    </row>
    <row r="2" spans="1:8" s="83" customFormat="1" ht="15.75" x14ac:dyDescent="0.25">
      <c r="A2" s="295" t="s">
        <v>221</v>
      </c>
      <c r="B2" s="295"/>
      <c r="C2" s="295"/>
      <c r="D2" s="295"/>
      <c r="E2" s="295"/>
      <c r="F2" s="295"/>
      <c r="G2" s="295"/>
      <c r="H2" s="295"/>
    </row>
    <row r="4" spans="1:8" s="58" customFormat="1" ht="18" x14ac:dyDescent="0.25">
      <c r="A4" s="291" t="s">
        <v>204</v>
      </c>
      <c r="B4" s="291"/>
      <c r="C4" s="291"/>
      <c r="D4" s="291"/>
      <c r="E4" s="291"/>
      <c r="F4" s="291"/>
      <c r="G4" s="291"/>
      <c r="H4" s="291"/>
    </row>
    <row r="5" spans="1:8" ht="15.75" thickBot="1" x14ac:dyDescent="0.3"/>
    <row r="6" spans="1:8" s="51" customFormat="1" ht="16.5" thickBot="1" x14ac:dyDescent="0.3">
      <c r="A6" s="293" t="s">
        <v>2</v>
      </c>
      <c r="B6" s="294" t="s">
        <v>0</v>
      </c>
      <c r="C6" s="296" t="s">
        <v>103</v>
      </c>
      <c r="D6" s="298" t="s">
        <v>104</v>
      </c>
      <c r="E6" s="298"/>
      <c r="F6" s="298"/>
      <c r="G6" s="298"/>
      <c r="H6" s="298"/>
    </row>
    <row r="7" spans="1:8" s="51" customFormat="1" ht="21.75" customHeight="1" thickBot="1" x14ac:dyDescent="0.3">
      <c r="A7" s="294"/>
      <c r="B7" s="294"/>
      <c r="C7" s="297"/>
      <c r="D7" s="45" t="s">
        <v>105</v>
      </c>
      <c r="E7" s="45" t="s">
        <v>106</v>
      </c>
      <c r="F7" s="45" t="s">
        <v>107</v>
      </c>
      <c r="G7" s="45" t="s">
        <v>108</v>
      </c>
      <c r="H7" s="45" t="s">
        <v>109</v>
      </c>
    </row>
    <row r="8" spans="1:8" s="51" customFormat="1" ht="12" thickBot="1" x14ac:dyDescent="0.3">
      <c r="A8" s="170">
        <v>1</v>
      </c>
      <c r="B8" s="170">
        <v>2</v>
      </c>
      <c r="C8" s="171">
        <v>3</v>
      </c>
      <c r="D8" s="170">
        <v>4</v>
      </c>
      <c r="E8" s="170">
        <v>5</v>
      </c>
      <c r="F8" s="170">
        <v>6</v>
      </c>
      <c r="G8" s="170">
        <v>7</v>
      </c>
      <c r="H8" s="170">
        <v>8</v>
      </c>
    </row>
    <row r="9" spans="1:8" ht="30.75" thickBot="1" x14ac:dyDescent="0.3">
      <c r="A9" s="77">
        <f>'[1]Format A-I'!A8</f>
        <v>1</v>
      </c>
      <c r="B9" s="84" t="str">
        <f>'Result Analysis XII'!L1</f>
        <v>Kareera, Mohindergarh</v>
      </c>
      <c r="C9" s="64">
        <f>'Result Analysis XII'!E85</f>
        <v>0</v>
      </c>
      <c r="D9" s="105">
        <f>'Result Analysis XII'!X99</f>
        <v>0</v>
      </c>
      <c r="E9" s="105">
        <f>'Result Analysis XII'!X98</f>
        <v>0</v>
      </c>
      <c r="F9" s="105">
        <f>'Result Analysis XII'!X97</f>
        <v>0</v>
      </c>
      <c r="G9" s="105">
        <f>'Result Analysis XII'!X96</f>
        <v>0</v>
      </c>
      <c r="H9" s="80">
        <f>'Result Analysis XII'!X94</f>
        <v>0</v>
      </c>
    </row>
  </sheetData>
  <sheetProtection algorithmName="SHA-512" hashValue="qZYpUgFyYhGz2brJ6HxlzhzQADDVSvndhWIQL0F4ej3y4Cbb1MNxb8rTdZyPvKepThRQsMnqrMgb9uQV1V/fng==" saltValue="jnEOGrUuSgshsD4yLzcMyQ==" spinCount="100000" sheet="1" objects="1" scenarios="1"/>
  <mergeCells count="7">
    <mergeCell ref="G1:H1"/>
    <mergeCell ref="A2:H2"/>
    <mergeCell ref="A4:H4"/>
    <mergeCell ref="A6:A7"/>
    <mergeCell ref="B6:B7"/>
    <mergeCell ref="C6:C7"/>
    <mergeCell ref="D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0"/>
  <sheetViews>
    <sheetView workbookViewId="0">
      <selection activeCell="D1" sqref="A1:X9"/>
    </sheetView>
  </sheetViews>
  <sheetFormatPr defaultRowHeight="15" x14ac:dyDescent="0.25"/>
  <cols>
    <col min="1" max="1" width="3.42578125" style="54" bestFit="1" customWidth="1"/>
    <col min="2" max="2" width="17" style="54" customWidth="1"/>
    <col min="3" max="23" width="8.140625" style="54" customWidth="1"/>
    <col min="24" max="24" width="3" style="3" customWidth="1"/>
    <col min="25" max="256" width="9.140625" style="3"/>
    <col min="257" max="257" width="3.42578125" style="3" bestFit="1" customWidth="1"/>
    <col min="258" max="258" width="14.85546875" style="3" customWidth="1"/>
    <col min="259" max="279" width="8.140625" style="3" customWidth="1"/>
    <col min="280" max="280" width="3" style="3" customWidth="1"/>
    <col min="281" max="512" width="9.140625" style="3"/>
    <col min="513" max="513" width="3.42578125" style="3" bestFit="1" customWidth="1"/>
    <col min="514" max="514" width="14.85546875" style="3" customWidth="1"/>
    <col min="515" max="535" width="8.140625" style="3" customWidth="1"/>
    <col min="536" max="536" width="3" style="3" customWidth="1"/>
    <col min="537" max="768" width="9.140625" style="3"/>
    <col min="769" max="769" width="3.42578125" style="3" bestFit="1" customWidth="1"/>
    <col min="770" max="770" width="14.85546875" style="3" customWidth="1"/>
    <col min="771" max="791" width="8.140625" style="3" customWidth="1"/>
    <col min="792" max="792" width="3" style="3" customWidth="1"/>
    <col min="793" max="1024" width="9.140625" style="3"/>
    <col min="1025" max="1025" width="3.42578125" style="3" bestFit="1" customWidth="1"/>
    <col min="1026" max="1026" width="14.85546875" style="3" customWidth="1"/>
    <col min="1027" max="1047" width="8.140625" style="3" customWidth="1"/>
    <col min="1048" max="1048" width="3" style="3" customWidth="1"/>
    <col min="1049" max="1280" width="9.140625" style="3"/>
    <col min="1281" max="1281" width="3.42578125" style="3" bestFit="1" customWidth="1"/>
    <col min="1282" max="1282" width="14.85546875" style="3" customWidth="1"/>
    <col min="1283" max="1303" width="8.140625" style="3" customWidth="1"/>
    <col min="1304" max="1304" width="3" style="3" customWidth="1"/>
    <col min="1305" max="1536" width="9.140625" style="3"/>
    <col min="1537" max="1537" width="3.42578125" style="3" bestFit="1" customWidth="1"/>
    <col min="1538" max="1538" width="14.85546875" style="3" customWidth="1"/>
    <col min="1539" max="1559" width="8.140625" style="3" customWidth="1"/>
    <col min="1560" max="1560" width="3" style="3" customWidth="1"/>
    <col min="1561" max="1792" width="9.140625" style="3"/>
    <col min="1793" max="1793" width="3.42578125" style="3" bestFit="1" customWidth="1"/>
    <col min="1794" max="1794" width="14.85546875" style="3" customWidth="1"/>
    <col min="1795" max="1815" width="8.140625" style="3" customWidth="1"/>
    <col min="1816" max="1816" width="3" style="3" customWidth="1"/>
    <col min="1817" max="2048" width="9.140625" style="3"/>
    <col min="2049" max="2049" width="3.42578125" style="3" bestFit="1" customWidth="1"/>
    <col min="2050" max="2050" width="14.85546875" style="3" customWidth="1"/>
    <col min="2051" max="2071" width="8.140625" style="3" customWidth="1"/>
    <col min="2072" max="2072" width="3" style="3" customWidth="1"/>
    <col min="2073" max="2304" width="9.140625" style="3"/>
    <col min="2305" max="2305" width="3.42578125" style="3" bestFit="1" customWidth="1"/>
    <col min="2306" max="2306" width="14.85546875" style="3" customWidth="1"/>
    <col min="2307" max="2327" width="8.140625" style="3" customWidth="1"/>
    <col min="2328" max="2328" width="3" style="3" customWidth="1"/>
    <col min="2329" max="2560" width="9.140625" style="3"/>
    <col min="2561" max="2561" width="3.42578125" style="3" bestFit="1" customWidth="1"/>
    <col min="2562" max="2562" width="14.85546875" style="3" customWidth="1"/>
    <col min="2563" max="2583" width="8.140625" style="3" customWidth="1"/>
    <col min="2584" max="2584" width="3" style="3" customWidth="1"/>
    <col min="2585" max="2816" width="9.140625" style="3"/>
    <col min="2817" max="2817" width="3.42578125" style="3" bestFit="1" customWidth="1"/>
    <col min="2818" max="2818" width="14.85546875" style="3" customWidth="1"/>
    <col min="2819" max="2839" width="8.140625" style="3" customWidth="1"/>
    <col min="2840" max="2840" width="3" style="3" customWidth="1"/>
    <col min="2841" max="3072" width="9.140625" style="3"/>
    <col min="3073" max="3073" width="3.42578125" style="3" bestFit="1" customWidth="1"/>
    <col min="3074" max="3074" width="14.85546875" style="3" customWidth="1"/>
    <col min="3075" max="3095" width="8.140625" style="3" customWidth="1"/>
    <col min="3096" max="3096" width="3" style="3" customWidth="1"/>
    <col min="3097" max="3328" width="9.140625" style="3"/>
    <col min="3329" max="3329" width="3.42578125" style="3" bestFit="1" customWidth="1"/>
    <col min="3330" max="3330" width="14.85546875" style="3" customWidth="1"/>
    <col min="3331" max="3351" width="8.140625" style="3" customWidth="1"/>
    <col min="3352" max="3352" width="3" style="3" customWidth="1"/>
    <col min="3353" max="3584" width="9.140625" style="3"/>
    <col min="3585" max="3585" width="3.42578125" style="3" bestFit="1" customWidth="1"/>
    <col min="3586" max="3586" width="14.85546875" style="3" customWidth="1"/>
    <col min="3587" max="3607" width="8.140625" style="3" customWidth="1"/>
    <col min="3608" max="3608" width="3" style="3" customWidth="1"/>
    <col min="3609" max="3840" width="9.140625" style="3"/>
    <col min="3841" max="3841" width="3.42578125" style="3" bestFit="1" customWidth="1"/>
    <col min="3842" max="3842" width="14.85546875" style="3" customWidth="1"/>
    <col min="3843" max="3863" width="8.140625" style="3" customWidth="1"/>
    <col min="3864" max="3864" width="3" style="3" customWidth="1"/>
    <col min="3865" max="4096" width="9.140625" style="3"/>
    <col min="4097" max="4097" width="3.42578125" style="3" bestFit="1" customWidth="1"/>
    <col min="4098" max="4098" width="14.85546875" style="3" customWidth="1"/>
    <col min="4099" max="4119" width="8.140625" style="3" customWidth="1"/>
    <col min="4120" max="4120" width="3" style="3" customWidth="1"/>
    <col min="4121" max="4352" width="9.140625" style="3"/>
    <col min="4353" max="4353" width="3.42578125" style="3" bestFit="1" customWidth="1"/>
    <col min="4354" max="4354" width="14.85546875" style="3" customWidth="1"/>
    <col min="4355" max="4375" width="8.140625" style="3" customWidth="1"/>
    <col min="4376" max="4376" width="3" style="3" customWidth="1"/>
    <col min="4377" max="4608" width="9.140625" style="3"/>
    <col min="4609" max="4609" width="3.42578125" style="3" bestFit="1" customWidth="1"/>
    <col min="4610" max="4610" width="14.85546875" style="3" customWidth="1"/>
    <col min="4611" max="4631" width="8.140625" style="3" customWidth="1"/>
    <col min="4632" max="4632" width="3" style="3" customWidth="1"/>
    <col min="4633" max="4864" width="9.140625" style="3"/>
    <col min="4865" max="4865" width="3.42578125" style="3" bestFit="1" customWidth="1"/>
    <col min="4866" max="4866" width="14.85546875" style="3" customWidth="1"/>
    <col min="4867" max="4887" width="8.140625" style="3" customWidth="1"/>
    <col min="4888" max="4888" width="3" style="3" customWidth="1"/>
    <col min="4889" max="5120" width="9.140625" style="3"/>
    <col min="5121" max="5121" width="3.42578125" style="3" bestFit="1" customWidth="1"/>
    <col min="5122" max="5122" width="14.85546875" style="3" customWidth="1"/>
    <col min="5123" max="5143" width="8.140625" style="3" customWidth="1"/>
    <col min="5144" max="5144" width="3" style="3" customWidth="1"/>
    <col min="5145" max="5376" width="9.140625" style="3"/>
    <col min="5377" max="5377" width="3.42578125" style="3" bestFit="1" customWidth="1"/>
    <col min="5378" max="5378" width="14.85546875" style="3" customWidth="1"/>
    <col min="5379" max="5399" width="8.140625" style="3" customWidth="1"/>
    <col min="5400" max="5400" width="3" style="3" customWidth="1"/>
    <col min="5401" max="5632" width="9.140625" style="3"/>
    <col min="5633" max="5633" width="3.42578125" style="3" bestFit="1" customWidth="1"/>
    <col min="5634" max="5634" width="14.85546875" style="3" customWidth="1"/>
    <col min="5635" max="5655" width="8.140625" style="3" customWidth="1"/>
    <col min="5656" max="5656" width="3" style="3" customWidth="1"/>
    <col min="5657" max="5888" width="9.140625" style="3"/>
    <col min="5889" max="5889" width="3.42578125" style="3" bestFit="1" customWidth="1"/>
    <col min="5890" max="5890" width="14.85546875" style="3" customWidth="1"/>
    <col min="5891" max="5911" width="8.140625" style="3" customWidth="1"/>
    <col min="5912" max="5912" width="3" style="3" customWidth="1"/>
    <col min="5913" max="6144" width="9.140625" style="3"/>
    <col min="6145" max="6145" width="3.42578125" style="3" bestFit="1" customWidth="1"/>
    <col min="6146" max="6146" width="14.85546875" style="3" customWidth="1"/>
    <col min="6147" max="6167" width="8.140625" style="3" customWidth="1"/>
    <col min="6168" max="6168" width="3" style="3" customWidth="1"/>
    <col min="6169" max="6400" width="9.140625" style="3"/>
    <col min="6401" max="6401" width="3.42578125" style="3" bestFit="1" customWidth="1"/>
    <col min="6402" max="6402" width="14.85546875" style="3" customWidth="1"/>
    <col min="6403" max="6423" width="8.140625" style="3" customWidth="1"/>
    <col min="6424" max="6424" width="3" style="3" customWidth="1"/>
    <col min="6425" max="6656" width="9.140625" style="3"/>
    <col min="6657" max="6657" width="3.42578125" style="3" bestFit="1" customWidth="1"/>
    <col min="6658" max="6658" width="14.85546875" style="3" customWidth="1"/>
    <col min="6659" max="6679" width="8.140625" style="3" customWidth="1"/>
    <col min="6680" max="6680" width="3" style="3" customWidth="1"/>
    <col min="6681" max="6912" width="9.140625" style="3"/>
    <col min="6913" max="6913" width="3.42578125" style="3" bestFit="1" customWidth="1"/>
    <col min="6914" max="6914" width="14.85546875" style="3" customWidth="1"/>
    <col min="6915" max="6935" width="8.140625" style="3" customWidth="1"/>
    <col min="6936" max="6936" width="3" style="3" customWidth="1"/>
    <col min="6937" max="7168" width="9.140625" style="3"/>
    <col min="7169" max="7169" width="3.42578125" style="3" bestFit="1" customWidth="1"/>
    <col min="7170" max="7170" width="14.85546875" style="3" customWidth="1"/>
    <col min="7171" max="7191" width="8.140625" style="3" customWidth="1"/>
    <col min="7192" max="7192" width="3" style="3" customWidth="1"/>
    <col min="7193" max="7424" width="9.140625" style="3"/>
    <col min="7425" max="7425" width="3.42578125" style="3" bestFit="1" customWidth="1"/>
    <col min="7426" max="7426" width="14.85546875" style="3" customWidth="1"/>
    <col min="7427" max="7447" width="8.140625" style="3" customWidth="1"/>
    <col min="7448" max="7448" width="3" style="3" customWidth="1"/>
    <col min="7449" max="7680" width="9.140625" style="3"/>
    <col min="7681" max="7681" width="3.42578125" style="3" bestFit="1" customWidth="1"/>
    <col min="7682" max="7682" width="14.85546875" style="3" customWidth="1"/>
    <col min="7683" max="7703" width="8.140625" style="3" customWidth="1"/>
    <col min="7704" max="7704" width="3" style="3" customWidth="1"/>
    <col min="7705" max="7936" width="9.140625" style="3"/>
    <col min="7937" max="7937" width="3.42578125" style="3" bestFit="1" customWidth="1"/>
    <col min="7938" max="7938" width="14.85546875" style="3" customWidth="1"/>
    <col min="7939" max="7959" width="8.140625" style="3" customWidth="1"/>
    <col min="7960" max="7960" width="3" style="3" customWidth="1"/>
    <col min="7961" max="8192" width="9.140625" style="3"/>
    <col min="8193" max="8193" width="3.42578125" style="3" bestFit="1" customWidth="1"/>
    <col min="8194" max="8194" width="14.85546875" style="3" customWidth="1"/>
    <col min="8195" max="8215" width="8.140625" style="3" customWidth="1"/>
    <col min="8216" max="8216" width="3" style="3" customWidth="1"/>
    <col min="8217" max="8448" width="9.140625" style="3"/>
    <col min="8449" max="8449" width="3.42578125" style="3" bestFit="1" customWidth="1"/>
    <col min="8450" max="8450" width="14.85546875" style="3" customWidth="1"/>
    <col min="8451" max="8471" width="8.140625" style="3" customWidth="1"/>
    <col min="8472" max="8472" width="3" style="3" customWidth="1"/>
    <col min="8473" max="8704" width="9.140625" style="3"/>
    <col min="8705" max="8705" width="3.42578125" style="3" bestFit="1" customWidth="1"/>
    <col min="8706" max="8706" width="14.85546875" style="3" customWidth="1"/>
    <col min="8707" max="8727" width="8.140625" style="3" customWidth="1"/>
    <col min="8728" max="8728" width="3" style="3" customWidth="1"/>
    <col min="8729" max="8960" width="9.140625" style="3"/>
    <col min="8961" max="8961" width="3.42578125" style="3" bestFit="1" customWidth="1"/>
    <col min="8962" max="8962" width="14.85546875" style="3" customWidth="1"/>
    <col min="8963" max="8983" width="8.140625" style="3" customWidth="1"/>
    <col min="8984" max="8984" width="3" style="3" customWidth="1"/>
    <col min="8985" max="9216" width="9.140625" style="3"/>
    <col min="9217" max="9217" width="3.42578125" style="3" bestFit="1" customWidth="1"/>
    <col min="9218" max="9218" width="14.85546875" style="3" customWidth="1"/>
    <col min="9219" max="9239" width="8.140625" style="3" customWidth="1"/>
    <col min="9240" max="9240" width="3" style="3" customWidth="1"/>
    <col min="9241" max="9472" width="9.140625" style="3"/>
    <col min="9473" max="9473" width="3.42578125" style="3" bestFit="1" customWidth="1"/>
    <col min="9474" max="9474" width="14.85546875" style="3" customWidth="1"/>
    <col min="9475" max="9495" width="8.140625" style="3" customWidth="1"/>
    <col min="9496" max="9496" width="3" style="3" customWidth="1"/>
    <col min="9497" max="9728" width="9.140625" style="3"/>
    <col min="9729" max="9729" width="3.42578125" style="3" bestFit="1" customWidth="1"/>
    <col min="9730" max="9730" width="14.85546875" style="3" customWidth="1"/>
    <col min="9731" max="9751" width="8.140625" style="3" customWidth="1"/>
    <col min="9752" max="9752" width="3" style="3" customWidth="1"/>
    <col min="9753" max="9984" width="9.140625" style="3"/>
    <col min="9985" max="9985" width="3.42578125" style="3" bestFit="1" customWidth="1"/>
    <col min="9986" max="9986" width="14.85546875" style="3" customWidth="1"/>
    <col min="9987" max="10007" width="8.140625" style="3" customWidth="1"/>
    <col min="10008" max="10008" width="3" style="3" customWidth="1"/>
    <col min="10009" max="10240" width="9.140625" style="3"/>
    <col min="10241" max="10241" width="3.42578125" style="3" bestFit="1" customWidth="1"/>
    <col min="10242" max="10242" width="14.85546875" style="3" customWidth="1"/>
    <col min="10243" max="10263" width="8.140625" style="3" customWidth="1"/>
    <col min="10264" max="10264" width="3" style="3" customWidth="1"/>
    <col min="10265" max="10496" width="9.140625" style="3"/>
    <col min="10497" max="10497" width="3.42578125" style="3" bestFit="1" customWidth="1"/>
    <col min="10498" max="10498" width="14.85546875" style="3" customWidth="1"/>
    <col min="10499" max="10519" width="8.140625" style="3" customWidth="1"/>
    <col min="10520" max="10520" width="3" style="3" customWidth="1"/>
    <col min="10521" max="10752" width="9.140625" style="3"/>
    <col min="10753" max="10753" width="3.42578125" style="3" bestFit="1" customWidth="1"/>
    <col min="10754" max="10754" width="14.85546875" style="3" customWidth="1"/>
    <col min="10755" max="10775" width="8.140625" style="3" customWidth="1"/>
    <col min="10776" max="10776" width="3" style="3" customWidth="1"/>
    <col min="10777" max="11008" width="9.140625" style="3"/>
    <col min="11009" max="11009" width="3.42578125" style="3" bestFit="1" customWidth="1"/>
    <col min="11010" max="11010" width="14.85546875" style="3" customWidth="1"/>
    <col min="11011" max="11031" width="8.140625" style="3" customWidth="1"/>
    <col min="11032" max="11032" width="3" style="3" customWidth="1"/>
    <col min="11033" max="11264" width="9.140625" style="3"/>
    <col min="11265" max="11265" width="3.42578125" style="3" bestFit="1" customWidth="1"/>
    <col min="11266" max="11266" width="14.85546875" style="3" customWidth="1"/>
    <col min="11267" max="11287" width="8.140625" style="3" customWidth="1"/>
    <col min="11288" max="11288" width="3" style="3" customWidth="1"/>
    <col min="11289" max="11520" width="9.140625" style="3"/>
    <col min="11521" max="11521" width="3.42578125" style="3" bestFit="1" customWidth="1"/>
    <col min="11522" max="11522" width="14.85546875" style="3" customWidth="1"/>
    <col min="11523" max="11543" width="8.140625" style="3" customWidth="1"/>
    <col min="11544" max="11544" width="3" style="3" customWidth="1"/>
    <col min="11545" max="11776" width="9.140625" style="3"/>
    <col min="11777" max="11777" width="3.42578125" style="3" bestFit="1" customWidth="1"/>
    <col min="11778" max="11778" width="14.85546875" style="3" customWidth="1"/>
    <col min="11779" max="11799" width="8.140625" style="3" customWidth="1"/>
    <col min="11800" max="11800" width="3" style="3" customWidth="1"/>
    <col min="11801" max="12032" width="9.140625" style="3"/>
    <col min="12033" max="12033" width="3.42578125" style="3" bestFit="1" customWidth="1"/>
    <col min="12034" max="12034" width="14.85546875" style="3" customWidth="1"/>
    <col min="12035" max="12055" width="8.140625" style="3" customWidth="1"/>
    <col min="12056" max="12056" width="3" style="3" customWidth="1"/>
    <col min="12057" max="12288" width="9.140625" style="3"/>
    <col min="12289" max="12289" width="3.42578125" style="3" bestFit="1" customWidth="1"/>
    <col min="12290" max="12290" width="14.85546875" style="3" customWidth="1"/>
    <col min="12291" max="12311" width="8.140625" style="3" customWidth="1"/>
    <col min="12312" max="12312" width="3" style="3" customWidth="1"/>
    <col min="12313" max="12544" width="9.140625" style="3"/>
    <col min="12545" max="12545" width="3.42578125" style="3" bestFit="1" customWidth="1"/>
    <col min="12546" max="12546" width="14.85546875" style="3" customWidth="1"/>
    <col min="12547" max="12567" width="8.140625" style="3" customWidth="1"/>
    <col min="12568" max="12568" width="3" style="3" customWidth="1"/>
    <col min="12569" max="12800" width="9.140625" style="3"/>
    <col min="12801" max="12801" width="3.42578125" style="3" bestFit="1" customWidth="1"/>
    <col min="12802" max="12802" width="14.85546875" style="3" customWidth="1"/>
    <col min="12803" max="12823" width="8.140625" style="3" customWidth="1"/>
    <col min="12824" max="12824" width="3" style="3" customWidth="1"/>
    <col min="12825" max="13056" width="9.140625" style="3"/>
    <col min="13057" max="13057" width="3.42578125" style="3" bestFit="1" customWidth="1"/>
    <col min="13058" max="13058" width="14.85546875" style="3" customWidth="1"/>
    <col min="13059" max="13079" width="8.140625" style="3" customWidth="1"/>
    <col min="13080" max="13080" width="3" style="3" customWidth="1"/>
    <col min="13081" max="13312" width="9.140625" style="3"/>
    <col min="13313" max="13313" width="3.42578125" style="3" bestFit="1" customWidth="1"/>
    <col min="13314" max="13314" width="14.85546875" style="3" customWidth="1"/>
    <col min="13315" max="13335" width="8.140625" style="3" customWidth="1"/>
    <col min="13336" max="13336" width="3" style="3" customWidth="1"/>
    <col min="13337" max="13568" width="9.140625" style="3"/>
    <col min="13569" max="13569" width="3.42578125" style="3" bestFit="1" customWidth="1"/>
    <col min="13570" max="13570" width="14.85546875" style="3" customWidth="1"/>
    <col min="13571" max="13591" width="8.140625" style="3" customWidth="1"/>
    <col min="13592" max="13592" width="3" style="3" customWidth="1"/>
    <col min="13593" max="13824" width="9.140625" style="3"/>
    <col min="13825" max="13825" width="3.42578125" style="3" bestFit="1" customWidth="1"/>
    <col min="13826" max="13826" width="14.85546875" style="3" customWidth="1"/>
    <col min="13827" max="13847" width="8.140625" style="3" customWidth="1"/>
    <col min="13848" max="13848" width="3" style="3" customWidth="1"/>
    <col min="13849" max="14080" width="9.140625" style="3"/>
    <col min="14081" max="14081" width="3.42578125" style="3" bestFit="1" customWidth="1"/>
    <col min="14082" max="14082" width="14.85546875" style="3" customWidth="1"/>
    <col min="14083" max="14103" width="8.140625" style="3" customWidth="1"/>
    <col min="14104" max="14104" width="3" style="3" customWidth="1"/>
    <col min="14105" max="14336" width="9.140625" style="3"/>
    <col min="14337" max="14337" width="3.42578125" style="3" bestFit="1" customWidth="1"/>
    <col min="14338" max="14338" width="14.85546875" style="3" customWidth="1"/>
    <col min="14339" max="14359" width="8.140625" style="3" customWidth="1"/>
    <col min="14360" max="14360" width="3" style="3" customWidth="1"/>
    <col min="14361" max="14592" width="9.140625" style="3"/>
    <col min="14593" max="14593" width="3.42578125" style="3" bestFit="1" customWidth="1"/>
    <col min="14594" max="14594" width="14.85546875" style="3" customWidth="1"/>
    <col min="14595" max="14615" width="8.140625" style="3" customWidth="1"/>
    <col min="14616" max="14616" width="3" style="3" customWidth="1"/>
    <col min="14617" max="14848" width="9.140625" style="3"/>
    <col min="14849" max="14849" width="3.42578125" style="3" bestFit="1" customWidth="1"/>
    <col min="14850" max="14850" width="14.85546875" style="3" customWidth="1"/>
    <col min="14851" max="14871" width="8.140625" style="3" customWidth="1"/>
    <col min="14872" max="14872" width="3" style="3" customWidth="1"/>
    <col min="14873" max="15104" width="9.140625" style="3"/>
    <col min="15105" max="15105" width="3.42578125" style="3" bestFit="1" customWidth="1"/>
    <col min="15106" max="15106" width="14.85546875" style="3" customWidth="1"/>
    <col min="15107" max="15127" width="8.140625" style="3" customWidth="1"/>
    <col min="15128" max="15128" width="3" style="3" customWidth="1"/>
    <col min="15129" max="15360" width="9.140625" style="3"/>
    <col min="15361" max="15361" width="3.42578125" style="3" bestFit="1" customWidth="1"/>
    <col min="15362" max="15362" width="14.85546875" style="3" customWidth="1"/>
    <col min="15363" max="15383" width="8.140625" style="3" customWidth="1"/>
    <col min="15384" max="15384" width="3" style="3" customWidth="1"/>
    <col min="15385" max="15616" width="9.140625" style="3"/>
    <col min="15617" max="15617" width="3.42578125" style="3" bestFit="1" customWidth="1"/>
    <col min="15618" max="15618" width="14.85546875" style="3" customWidth="1"/>
    <col min="15619" max="15639" width="8.140625" style="3" customWidth="1"/>
    <col min="15640" max="15640" width="3" style="3" customWidth="1"/>
    <col min="15641" max="15872" width="9.140625" style="3"/>
    <col min="15873" max="15873" width="3.42578125" style="3" bestFit="1" customWidth="1"/>
    <col min="15874" max="15874" width="14.85546875" style="3" customWidth="1"/>
    <col min="15875" max="15895" width="8.140625" style="3" customWidth="1"/>
    <col min="15896" max="15896" width="3" style="3" customWidth="1"/>
    <col min="15897" max="16128" width="9.140625" style="3"/>
    <col min="16129" max="16129" width="3.42578125" style="3" bestFit="1" customWidth="1"/>
    <col min="16130" max="16130" width="14.85546875" style="3" customWidth="1"/>
    <col min="16131" max="16151" width="8.140625" style="3" customWidth="1"/>
    <col min="16152" max="16152" width="3" style="3" customWidth="1"/>
    <col min="16153" max="16384" width="9.140625" style="3"/>
  </cols>
  <sheetData>
    <row r="1" spans="1:24" x14ac:dyDescent="0.25">
      <c r="A1" s="172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290" t="s">
        <v>110</v>
      </c>
      <c r="V1" s="290"/>
      <c r="W1" s="290"/>
      <c r="X1" s="59"/>
    </row>
    <row r="2" spans="1:24" s="56" customFormat="1" ht="18" x14ac:dyDescent="0.25">
      <c r="A2" s="291" t="s">
        <v>221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55"/>
    </row>
    <row r="3" spans="1:24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s="83" customFormat="1" ht="15.75" x14ac:dyDescent="0.25">
      <c r="A4" s="295" t="s">
        <v>225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57"/>
    </row>
    <row r="5" spans="1:24" ht="15.75" thickBo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s="50" customFormat="1" ht="27" customHeight="1" thickBot="1" x14ac:dyDescent="0.3">
      <c r="A6" s="293" t="s">
        <v>2</v>
      </c>
      <c r="B6" s="293" t="s">
        <v>42</v>
      </c>
      <c r="C6" s="294" t="s">
        <v>222</v>
      </c>
      <c r="D6" s="294"/>
      <c r="E6" s="294"/>
      <c r="F6" s="294"/>
      <c r="G6" s="294"/>
      <c r="H6" s="294"/>
      <c r="I6" s="294"/>
      <c r="J6" s="293" t="s">
        <v>223</v>
      </c>
      <c r="K6" s="293"/>
      <c r="L6" s="293"/>
      <c r="M6" s="293"/>
      <c r="N6" s="293"/>
      <c r="O6" s="293"/>
      <c r="P6" s="293"/>
      <c r="Q6" s="293" t="s">
        <v>224</v>
      </c>
      <c r="R6" s="293"/>
      <c r="S6" s="293"/>
      <c r="T6" s="293"/>
      <c r="U6" s="293"/>
      <c r="V6" s="293"/>
      <c r="W6" s="293"/>
    </row>
    <row r="7" spans="1:24" s="50" customFormat="1" ht="12" thickBot="1" x14ac:dyDescent="0.3">
      <c r="A7" s="294"/>
      <c r="B7" s="293"/>
      <c r="C7" s="294" t="s">
        <v>46</v>
      </c>
      <c r="D7" s="294"/>
      <c r="E7" s="294"/>
      <c r="F7" s="294"/>
      <c r="G7" s="294"/>
      <c r="H7" s="294"/>
      <c r="I7" s="294"/>
      <c r="J7" s="294" t="s">
        <v>47</v>
      </c>
      <c r="K7" s="294"/>
      <c r="L7" s="294"/>
      <c r="M7" s="294"/>
      <c r="N7" s="294"/>
      <c r="O7" s="294"/>
      <c r="P7" s="294"/>
      <c r="Q7" s="294" t="s">
        <v>47</v>
      </c>
      <c r="R7" s="294"/>
      <c r="S7" s="294"/>
      <c r="T7" s="294"/>
      <c r="U7" s="294"/>
      <c r="V7" s="294"/>
      <c r="W7" s="45"/>
    </row>
    <row r="8" spans="1:24" s="50" customFormat="1" ht="34.5" thickBot="1" x14ac:dyDescent="0.3">
      <c r="A8" s="294"/>
      <c r="B8" s="293"/>
      <c r="C8" s="46" t="s">
        <v>48</v>
      </c>
      <c r="D8" s="46" t="s">
        <v>49</v>
      </c>
      <c r="E8" s="46" t="s">
        <v>111</v>
      </c>
      <c r="F8" s="45" t="s">
        <v>106</v>
      </c>
      <c r="G8" s="45" t="s">
        <v>107</v>
      </c>
      <c r="H8" s="45" t="s">
        <v>108</v>
      </c>
      <c r="I8" s="46" t="s">
        <v>112</v>
      </c>
      <c r="J8" s="46" t="s">
        <v>48</v>
      </c>
      <c r="K8" s="46" t="s">
        <v>49</v>
      </c>
      <c r="L8" s="46" t="s">
        <v>111</v>
      </c>
      <c r="M8" s="45" t="s">
        <v>106</v>
      </c>
      <c r="N8" s="45" t="s">
        <v>107</v>
      </c>
      <c r="O8" s="45" t="s">
        <v>108</v>
      </c>
      <c r="P8" s="46" t="s">
        <v>113</v>
      </c>
      <c r="Q8" s="46" t="s">
        <v>48</v>
      </c>
      <c r="R8" s="46" t="s">
        <v>49</v>
      </c>
      <c r="S8" s="46" t="s">
        <v>111</v>
      </c>
      <c r="T8" s="45" t="s">
        <v>106</v>
      </c>
      <c r="U8" s="45" t="s">
        <v>107</v>
      </c>
      <c r="V8" s="45" t="s">
        <v>108</v>
      </c>
      <c r="W8" s="46" t="s">
        <v>113</v>
      </c>
    </row>
    <row r="9" spans="1:24" s="50" customFormat="1" ht="12" thickBot="1" x14ac:dyDescent="0.3">
      <c r="A9" s="53">
        <v>1</v>
      </c>
      <c r="B9" s="53">
        <v>2</v>
      </c>
      <c r="C9" s="53">
        <v>3</v>
      </c>
      <c r="D9" s="53">
        <v>4</v>
      </c>
      <c r="E9" s="53">
        <v>5</v>
      </c>
      <c r="F9" s="53">
        <v>6</v>
      </c>
      <c r="G9" s="53">
        <v>7</v>
      </c>
      <c r="H9" s="53">
        <v>8</v>
      </c>
      <c r="I9" s="53">
        <v>9</v>
      </c>
      <c r="J9" s="53">
        <v>10</v>
      </c>
      <c r="K9" s="53">
        <v>11</v>
      </c>
      <c r="L9" s="53">
        <v>12</v>
      </c>
      <c r="M9" s="53">
        <v>13</v>
      </c>
      <c r="N9" s="53">
        <v>14</v>
      </c>
      <c r="O9" s="53">
        <v>15</v>
      </c>
      <c r="P9" s="53">
        <v>16</v>
      </c>
      <c r="Q9" s="53">
        <v>17</v>
      </c>
      <c r="R9" s="53">
        <v>18</v>
      </c>
      <c r="S9" s="53">
        <v>19</v>
      </c>
      <c r="T9" s="53">
        <v>20</v>
      </c>
      <c r="U9" s="53">
        <v>21</v>
      </c>
      <c r="V9" s="53">
        <v>22</v>
      </c>
      <c r="W9" s="53">
        <v>23</v>
      </c>
    </row>
    <row r="10" spans="1:24" ht="45.75" thickBot="1" x14ac:dyDescent="0.3">
      <c r="A10" s="77">
        <f>'[1]Format A-I'!A8</f>
        <v>1</v>
      </c>
      <c r="B10" s="85" t="str">
        <f>'[1]Format A-I'!B8</f>
        <v>KAREERA, MOHINDERGARH</v>
      </c>
      <c r="C10" s="64">
        <f>COUNTIF('Result Analysis XII'!$B$6:$B$84,"6")</f>
        <v>0</v>
      </c>
      <c r="D10" s="64">
        <v>39</v>
      </c>
      <c r="E10" s="64">
        <f>COUNTIFS('Result Analysis XII'!$B$6:$B$84,"6",'Result Analysis XII'!$Y$6:$Y$84,"&lt;33")</f>
        <v>0</v>
      </c>
      <c r="F10" s="64">
        <f>COUNTIFS('Result Analysis XII'!$B$6:$B$84,"6",'Result Analysis XII'!$Y$6:$Y$84,"&gt;=33")-G10-H10-I10</f>
        <v>0</v>
      </c>
      <c r="G10" s="64">
        <f>COUNTIFS('Result Analysis XII'!$B$6:$B$84,"6",'Result Analysis XII'!$Y$6:$Y$84,"&gt;=60")-H10-I10</f>
        <v>0</v>
      </c>
      <c r="H10" s="64">
        <f>COUNTIFS('Result Analysis XII'!$B$6:$B$84,"6",'Result Analysis XII'!$Y$6:$Y$84,"&gt;=75")-I10</f>
        <v>0</v>
      </c>
      <c r="I10" s="64">
        <f>COUNTIFS('Result Analysis XII'!$B$6:$B$84,"6",'Result Analysis XII'!$Y$6:$Y$84,"&gt;=90")</f>
        <v>0</v>
      </c>
      <c r="J10" s="64">
        <f>COUNTIF('Result Analysis XII'!$B$6:$B$84,"9")</f>
        <v>0</v>
      </c>
      <c r="K10" s="64">
        <f>COUNTIFS('Result Analysis XII'!$B$6:$B$84,"9",'Result Analysis XII'!$Y$6:$Y$84,"&gt;=33")</f>
        <v>0</v>
      </c>
      <c r="L10" s="64">
        <f>COUNTIFS('Result Analysis XII'!$B$6:$B$84,"9",'Result Analysis XII'!$Y$6:$Y$84,"&lt;33")</f>
        <v>0</v>
      </c>
      <c r="M10" s="64">
        <f>COUNTIFS('Result Analysis XII'!$B$6:$B$84,"9",'Result Analysis XII'!$Y$6:$Y$84,"&gt;=33")-N10-O10-P10</f>
        <v>0</v>
      </c>
      <c r="N10" s="64">
        <f>COUNTIFS('Result Analysis XII'!$B$6:$B$84,"9",'Result Analysis XII'!$Y$6:$Y$84,"&gt;=60")-O10-P10</f>
        <v>0</v>
      </c>
      <c r="O10" s="64">
        <f>COUNTIFS('Result Analysis XII'!$B$6:$B$84,"9",'Result Analysis XII'!$Y$6:$Y$84,"&gt;=75")-P10</f>
        <v>0</v>
      </c>
      <c r="P10" s="64">
        <f>COUNTIFS('Result Analysis XII'!$B$6:$B$84,"9",'Result Analysis XII'!$Y$6:$Y$84,"&gt;=90")</f>
        <v>0</v>
      </c>
      <c r="Q10" s="64">
        <f>COUNTIF('Result Analysis XII'!$B$6:$B$84,"11")</f>
        <v>0</v>
      </c>
      <c r="R10" s="64">
        <f>COUNTIFS('Result Analysis XII'!$B$6:$B$84,"11",'Result Analysis XII'!$Y$6:$Y$84,"&gt;=33")</f>
        <v>0</v>
      </c>
      <c r="S10" s="64">
        <f>COUNTIFS('Result Analysis XII'!$B$6:$B$84,"11",'Result Analysis XII'!$Y$6:$Y$84,"&lt;33")</f>
        <v>0</v>
      </c>
      <c r="T10" s="64">
        <f>COUNTIFS('Result Analysis XII'!$B$6:$B$84,"11",'Result Analysis XII'!$Y$6:$Y$84,"&gt;=33")-U10-V10-W10</f>
        <v>0</v>
      </c>
      <c r="U10" s="64">
        <f>COUNTIFS('Result Analysis XII'!$B$6:$B$84,"11",'Result Analysis XII'!$Y$6:$Y$84,"&gt;=60")-V10-W10</f>
        <v>0</v>
      </c>
      <c r="V10" s="64">
        <f>COUNTIFS('Result Analysis XII'!$B$6:$B$84,"11",'Result Analysis XII'!$Y$6:$Y$84,"&gt;=75")-W10</f>
        <v>0</v>
      </c>
      <c r="W10" s="64">
        <f>COUNTIFS('Result Analysis XII'!$B$6:$B$84,"11",'Result Analysis XII'!$Y$6:$Y$84,"&gt;=90")</f>
        <v>0</v>
      </c>
    </row>
  </sheetData>
  <sheetProtection algorithmName="SHA-512" hashValue="tI8lkVwsv3I/uegVOWWVUFfSfNjG7OTQT0oEmMbLPwH2fTJ4PMTdnZ2vy79qiVVdw2eFHfMKdaFoWrAOE8Nv2Q==" saltValue="CelHN+FeOToqHH6IgsKb7g==" spinCount="100000" sheet="1" objects="1" scenarios="1"/>
  <mergeCells count="11">
    <mergeCell ref="Q7:V7"/>
    <mergeCell ref="U1:W1"/>
    <mergeCell ref="A2:W2"/>
    <mergeCell ref="A4:W4"/>
    <mergeCell ref="A6:A8"/>
    <mergeCell ref="B6:B8"/>
    <mergeCell ref="C6:I6"/>
    <mergeCell ref="J6:P6"/>
    <mergeCell ref="Q6:W6"/>
    <mergeCell ref="C7:I7"/>
    <mergeCell ref="J7:P7"/>
  </mergeCells>
  <pageMargins left="0.70866141732283472" right="0.70866141732283472" top="0.74803149606299213" bottom="0.74803149606299213" header="0.31496062992125984" footer="0.31496062992125984"/>
  <pageSetup paperSize="5" scale="8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"/>
  <sheetViews>
    <sheetView workbookViewId="0">
      <selection activeCell="D1" sqref="A1:X9"/>
    </sheetView>
  </sheetViews>
  <sheetFormatPr defaultColWidth="8.85546875" defaultRowHeight="15" x14ac:dyDescent="0.25"/>
  <cols>
    <col min="1" max="1" width="3.42578125" style="3" bestFit="1" customWidth="1"/>
    <col min="2" max="2" width="15.5703125" style="3" customWidth="1"/>
    <col min="3" max="16" width="8" style="3" customWidth="1"/>
    <col min="17" max="256" width="8.85546875" style="3"/>
    <col min="257" max="257" width="3.42578125" style="3" bestFit="1" customWidth="1"/>
    <col min="258" max="258" width="13.85546875" style="3" bestFit="1" customWidth="1"/>
    <col min="259" max="272" width="8" style="3" customWidth="1"/>
    <col min="273" max="512" width="8.85546875" style="3"/>
    <col min="513" max="513" width="3.42578125" style="3" bestFit="1" customWidth="1"/>
    <col min="514" max="514" width="13.85546875" style="3" bestFit="1" customWidth="1"/>
    <col min="515" max="528" width="8" style="3" customWidth="1"/>
    <col min="529" max="768" width="8.85546875" style="3"/>
    <col min="769" max="769" width="3.42578125" style="3" bestFit="1" customWidth="1"/>
    <col min="770" max="770" width="13.85546875" style="3" bestFit="1" customWidth="1"/>
    <col min="771" max="784" width="8" style="3" customWidth="1"/>
    <col min="785" max="1024" width="8.85546875" style="3"/>
    <col min="1025" max="1025" width="3.42578125" style="3" bestFit="1" customWidth="1"/>
    <col min="1026" max="1026" width="13.85546875" style="3" bestFit="1" customWidth="1"/>
    <col min="1027" max="1040" width="8" style="3" customWidth="1"/>
    <col min="1041" max="1280" width="8.85546875" style="3"/>
    <col min="1281" max="1281" width="3.42578125" style="3" bestFit="1" customWidth="1"/>
    <col min="1282" max="1282" width="13.85546875" style="3" bestFit="1" customWidth="1"/>
    <col min="1283" max="1296" width="8" style="3" customWidth="1"/>
    <col min="1297" max="1536" width="8.85546875" style="3"/>
    <col min="1537" max="1537" width="3.42578125" style="3" bestFit="1" customWidth="1"/>
    <col min="1538" max="1538" width="13.85546875" style="3" bestFit="1" customWidth="1"/>
    <col min="1539" max="1552" width="8" style="3" customWidth="1"/>
    <col min="1553" max="1792" width="8.85546875" style="3"/>
    <col min="1793" max="1793" width="3.42578125" style="3" bestFit="1" customWidth="1"/>
    <col min="1794" max="1794" width="13.85546875" style="3" bestFit="1" customWidth="1"/>
    <col min="1795" max="1808" width="8" style="3" customWidth="1"/>
    <col min="1809" max="2048" width="8.85546875" style="3"/>
    <col min="2049" max="2049" width="3.42578125" style="3" bestFit="1" customWidth="1"/>
    <col min="2050" max="2050" width="13.85546875" style="3" bestFit="1" customWidth="1"/>
    <col min="2051" max="2064" width="8" style="3" customWidth="1"/>
    <col min="2065" max="2304" width="8.85546875" style="3"/>
    <col min="2305" max="2305" width="3.42578125" style="3" bestFit="1" customWidth="1"/>
    <col min="2306" max="2306" width="13.85546875" style="3" bestFit="1" customWidth="1"/>
    <col min="2307" max="2320" width="8" style="3" customWidth="1"/>
    <col min="2321" max="2560" width="8.85546875" style="3"/>
    <col min="2561" max="2561" width="3.42578125" style="3" bestFit="1" customWidth="1"/>
    <col min="2562" max="2562" width="13.85546875" style="3" bestFit="1" customWidth="1"/>
    <col min="2563" max="2576" width="8" style="3" customWidth="1"/>
    <col min="2577" max="2816" width="8.85546875" style="3"/>
    <col min="2817" max="2817" width="3.42578125" style="3" bestFit="1" customWidth="1"/>
    <col min="2818" max="2818" width="13.85546875" style="3" bestFit="1" customWidth="1"/>
    <col min="2819" max="2832" width="8" style="3" customWidth="1"/>
    <col min="2833" max="3072" width="8.85546875" style="3"/>
    <col min="3073" max="3073" width="3.42578125" style="3" bestFit="1" customWidth="1"/>
    <col min="3074" max="3074" width="13.85546875" style="3" bestFit="1" customWidth="1"/>
    <col min="3075" max="3088" width="8" style="3" customWidth="1"/>
    <col min="3089" max="3328" width="8.85546875" style="3"/>
    <col min="3329" max="3329" width="3.42578125" style="3" bestFit="1" customWidth="1"/>
    <col min="3330" max="3330" width="13.85546875" style="3" bestFit="1" customWidth="1"/>
    <col min="3331" max="3344" width="8" style="3" customWidth="1"/>
    <col min="3345" max="3584" width="8.85546875" style="3"/>
    <col min="3585" max="3585" width="3.42578125" style="3" bestFit="1" customWidth="1"/>
    <col min="3586" max="3586" width="13.85546875" style="3" bestFit="1" customWidth="1"/>
    <col min="3587" max="3600" width="8" style="3" customWidth="1"/>
    <col min="3601" max="3840" width="8.85546875" style="3"/>
    <col min="3841" max="3841" width="3.42578125" style="3" bestFit="1" customWidth="1"/>
    <col min="3842" max="3842" width="13.85546875" style="3" bestFit="1" customWidth="1"/>
    <col min="3843" max="3856" width="8" style="3" customWidth="1"/>
    <col min="3857" max="4096" width="8.85546875" style="3"/>
    <col min="4097" max="4097" width="3.42578125" style="3" bestFit="1" customWidth="1"/>
    <col min="4098" max="4098" width="13.85546875" style="3" bestFit="1" customWidth="1"/>
    <col min="4099" max="4112" width="8" style="3" customWidth="1"/>
    <col min="4113" max="4352" width="8.85546875" style="3"/>
    <col min="4353" max="4353" width="3.42578125" style="3" bestFit="1" customWidth="1"/>
    <col min="4354" max="4354" width="13.85546875" style="3" bestFit="1" customWidth="1"/>
    <col min="4355" max="4368" width="8" style="3" customWidth="1"/>
    <col min="4369" max="4608" width="8.85546875" style="3"/>
    <col min="4609" max="4609" width="3.42578125" style="3" bestFit="1" customWidth="1"/>
    <col min="4610" max="4610" width="13.85546875" style="3" bestFit="1" customWidth="1"/>
    <col min="4611" max="4624" width="8" style="3" customWidth="1"/>
    <col min="4625" max="4864" width="8.85546875" style="3"/>
    <col min="4865" max="4865" width="3.42578125" style="3" bestFit="1" customWidth="1"/>
    <col min="4866" max="4866" width="13.85546875" style="3" bestFit="1" customWidth="1"/>
    <col min="4867" max="4880" width="8" style="3" customWidth="1"/>
    <col min="4881" max="5120" width="8.85546875" style="3"/>
    <col min="5121" max="5121" width="3.42578125" style="3" bestFit="1" customWidth="1"/>
    <col min="5122" max="5122" width="13.85546875" style="3" bestFit="1" customWidth="1"/>
    <col min="5123" max="5136" width="8" style="3" customWidth="1"/>
    <col min="5137" max="5376" width="8.85546875" style="3"/>
    <col min="5377" max="5377" width="3.42578125" style="3" bestFit="1" customWidth="1"/>
    <col min="5378" max="5378" width="13.85546875" style="3" bestFit="1" customWidth="1"/>
    <col min="5379" max="5392" width="8" style="3" customWidth="1"/>
    <col min="5393" max="5632" width="8.85546875" style="3"/>
    <col min="5633" max="5633" width="3.42578125" style="3" bestFit="1" customWidth="1"/>
    <col min="5634" max="5634" width="13.85546875" style="3" bestFit="1" customWidth="1"/>
    <col min="5635" max="5648" width="8" style="3" customWidth="1"/>
    <col min="5649" max="5888" width="8.85546875" style="3"/>
    <col min="5889" max="5889" width="3.42578125" style="3" bestFit="1" customWidth="1"/>
    <col min="5890" max="5890" width="13.85546875" style="3" bestFit="1" customWidth="1"/>
    <col min="5891" max="5904" width="8" style="3" customWidth="1"/>
    <col min="5905" max="6144" width="8.85546875" style="3"/>
    <col min="6145" max="6145" width="3.42578125" style="3" bestFit="1" customWidth="1"/>
    <col min="6146" max="6146" width="13.85546875" style="3" bestFit="1" customWidth="1"/>
    <col min="6147" max="6160" width="8" style="3" customWidth="1"/>
    <col min="6161" max="6400" width="8.85546875" style="3"/>
    <col min="6401" max="6401" width="3.42578125" style="3" bestFit="1" customWidth="1"/>
    <col min="6402" max="6402" width="13.85546875" style="3" bestFit="1" customWidth="1"/>
    <col min="6403" max="6416" width="8" style="3" customWidth="1"/>
    <col min="6417" max="6656" width="8.85546875" style="3"/>
    <col min="6657" max="6657" width="3.42578125" style="3" bestFit="1" customWidth="1"/>
    <col min="6658" max="6658" width="13.85546875" style="3" bestFit="1" customWidth="1"/>
    <col min="6659" max="6672" width="8" style="3" customWidth="1"/>
    <col min="6673" max="6912" width="8.85546875" style="3"/>
    <col min="6913" max="6913" width="3.42578125" style="3" bestFit="1" customWidth="1"/>
    <col min="6914" max="6914" width="13.85546875" style="3" bestFit="1" customWidth="1"/>
    <col min="6915" max="6928" width="8" style="3" customWidth="1"/>
    <col min="6929" max="7168" width="8.85546875" style="3"/>
    <col min="7169" max="7169" width="3.42578125" style="3" bestFit="1" customWidth="1"/>
    <col min="7170" max="7170" width="13.85546875" style="3" bestFit="1" customWidth="1"/>
    <col min="7171" max="7184" width="8" style="3" customWidth="1"/>
    <col min="7185" max="7424" width="8.85546875" style="3"/>
    <col min="7425" max="7425" width="3.42578125" style="3" bestFit="1" customWidth="1"/>
    <col min="7426" max="7426" width="13.85546875" style="3" bestFit="1" customWidth="1"/>
    <col min="7427" max="7440" width="8" style="3" customWidth="1"/>
    <col min="7441" max="7680" width="8.85546875" style="3"/>
    <col min="7681" max="7681" width="3.42578125" style="3" bestFit="1" customWidth="1"/>
    <col min="7682" max="7682" width="13.85546875" style="3" bestFit="1" customWidth="1"/>
    <col min="7683" max="7696" width="8" style="3" customWidth="1"/>
    <col min="7697" max="7936" width="8.85546875" style="3"/>
    <col min="7937" max="7937" width="3.42578125" style="3" bestFit="1" customWidth="1"/>
    <col min="7938" max="7938" width="13.85546875" style="3" bestFit="1" customWidth="1"/>
    <col min="7939" max="7952" width="8" style="3" customWidth="1"/>
    <col min="7953" max="8192" width="8.85546875" style="3"/>
    <col min="8193" max="8193" width="3.42578125" style="3" bestFit="1" customWidth="1"/>
    <col min="8194" max="8194" width="13.85546875" style="3" bestFit="1" customWidth="1"/>
    <col min="8195" max="8208" width="8" style="3" customWidth="1"/>
    <col min="8209" max="8448" width="8.85546875" style="3"/>
    <col min="8449" max="8449" width="3.42578125" style="3" bestFit="1" customWidth="1"/>
    <col min="8450" max="8450" width="13.85546875" style="3" bestFit="1" customWidth="1"/>
    <col min="8451" max="8464" width="8" style="3" customWidth="1"/>
    <col min="8465" max="8704" width="8.85546875" style="3"/>
    <col min="8705" max="8705" width="3.42578125" style="3" bestFit="1" customWidth="1"/>
    <col min="8706" max="8706" width="13.85546875" style="3" bestFit="1" customWidth="1"/>
    <col min="8707" max="8720" width="8" style="3" customWidth="1"/>
    <col min="8721" max="8960" width="8.85546875" style="3"/>
    <col min="8961" max="8961" width="3.42578125" style="3" bestFit="1" customWidth="1"/>
    <col min="8962" max="8962" width="13.85546875" style="3" bestFit="1" customWidth="1"/>
    <col min="8963" max="8976" width="8" style="3" customWidth="1"/>
    <col min="8977" max="9216" width="8.85546875" style="3"/>
    <col min="9217" max="9217" width="3.42578125" style="3" bestFit="1" customWidth="1"/>
    <col min="9218" max="9218" width="13.85546875" style="3" bestFit="1" customWidth="1"/>
    <col min="9219" max="9232" width="8" style="3" customWidth="1"/>
    <col min="9233" max="9472" width="8.85546875" style="3"/>
    <col min="9473" max="9473" width="3.42578125" style="3" bestFit="1" customWidth="1"/>
    <col min="9474" max="9474" width="13.85546875" style="3" bestFit="1" customWidth="1"/>
    <col min="9475" max="9488" width="8" style="3" customWidth="1"/>
    <col min="9489" max="9728" width="8.85546875" style="3"/>
    <col min="9729" max="9729" width="3.42578125" style="3" bestFit="1" customWidth="1"/>
    <col min="9730" max="9730" width="13.85546875" style="3" bestFit="1" customWidth="1"/>
    <col min="9731" max="9744" width="8" style="3" customWidth="1"/>
    <col min="9745" max="9984" width="8.85546875" style="3"/>
    <col min="9985" max="9985" width="3.42578125" style="3" bestFit="1" customWidth="1"/>
    <col min="9986" max="9986" width="13.85546875" style="3" bestFit="1" customWidth="1"/>
    <col min="9987" max="10000" width="8" style="3" customWidth="1"/>
    <col min="10001" max="10240" width="8.85546875" style="3"/>
    <col min="10241" max="10241" width="3.42578125" style="3" bestFit="1" customWidth="1"/>
    <col min="10242" max="10242" width="13.85546875" style="3" bestFit="1" customWidth="1"/>
    <col min="10243" max="10256" width="8" style="3" customWidth="1"/>
    <col min="10257" max="10496" width="8.85546875" style="3"/>
    <col min="10497" max="10497" width="3.42578125" style="3" bestFit="1" customWidth="1"/>
    <col min="10498" max="10498" width="13.85546875" style="3" bestFit="1" customWidth="1"/>
    <col min="10499" max="10512" width="8" style="3" customWidth="1"/>
    <col min="10513" max="10752" width="8.85546875" style="3"/>
    <col min="10753" max="10753" width="3.42578125" style="3" bestFit="1" customWidth="1"/>
    <col min="10754" max="10754" width="13.85546875" style="3" bestFit="1" customWidth="1"/>
    <col min="10755" max="10768" width="8" style="3" customWidth="1"/>
    <col min="10769" max="11008" width="8.85546875" style="3"/>
    <col min="11009" max="11009" width="3.42578125" style="3" bestFit="1" customWidth="1"/>
    <col min="11010" max="11010" width="13.85546875" style="3" bestFit="1" customWidth="1"/>
    <col min="11011" max="11024" width="8" style="3" customWidth="1"/>
    <col min="11025" max="11264" width="8.85546875" style="3"/>
    <col min="11265" max="11265" width="3.42578125" style="3" bestFit="1" customWidth="1"/>
    <col min="11266" max="11266" width="13.85546875" style="3" bestFit="1" customWidth="1"/>
    <col min="11267" max="11280" width="8" style="3" customWidth="1"/>
    <col min="11281" max="11520" width="8.85546875" style="3"/>
    <col min="11521" max="11521" width="3.42578125" style="3" bestFit="1" customWidth="1"/>
    <col min="11522" max="11522" width="13.85546875" style="3" bestFit="1" customWidth="1"/>
    <col min="11523" max="11536" width="8" style="3" customWidth="1"/>
    <col min="11537" max="11776" width="8.85546875" style="3"/>
    <col min="11777" max="11777" width="3.42578125" style="3" bestFit="1" customWidth="1"/>
    <col min="11778" max="11778" width="13.85546875" style="3" bestFit="1" customWidth="1"/>
    <col min="11779" max="11792" width="8" style="3" customWidth="1"/>
    <col min="11793" max="12032" width="8.85546875" style="3"/>
    <col min="12033" max="12033" width="3.42578125" style="3" bestFit="1" customWidth="1"/>
    <col min="12034" max="12034" width="13.85546875" style="3" bestFit="1" customWidth="1"/>
    <col min="12035" max="12048" width="8" style="3" customWidth="1"/>
    <col min="12049" max="12288" width="8.85546875" style="3"/>
    <col min="12289" max="12289" width="3.42578125" style="3" bestFit="1" customWidth="1"/>
    <col min="12290" max="12290" width="13.85546875" style="3" bestFit="1" customWidth="1"/>
    <col min="12291" max="12304" width="8" style="3" customWidth="1"/>
    <col min="12305" max="12544" width="8.85546875" style="3"/>
    <col min="12545" max="12545" width="3.42578125" style="3" bestFit="1" customWidth="1"/>
    <col min="12546" max="12546" width="13.85546875" style="3" bestFit="1" customWidth="1"/>
    <col min="12547" max="12560" width="8" style="3" customWidth="1"/>
    <col min="12561" max="12800" width="8.85546875" style="3"/>
    <col min="12801" max="12801" width="3.42578125" style="3" bestFit="1" customWidth="1"/>
    <col min="12802" max="12802" width="13.85546875" style="3" bestFit="1" customWidth="1"/>
    <col min="12803" max="12816" width="8" style="3" customWidth="1"/>
    <col min="12817" max="13056" width="8.85546875" style="3"/>
    <col min="13057" max="13057" width="3.42578125" style="3" bestFit="1" customWidth="1"/>
    <col min="13058" max="13058" width="13.85546875" style="3" bestFit="1" customWidth="1"/>
    <col min="13059" max="13072" width="8" style="3" customWidth="1"/>
    <col min="13073" max="13312" width="8.85546875" style="3"/>
    <col min="13313" max="13313" width="3.42578125" style="3" bestFit="1" customWidth="1"/>
    <col min="13314" max="13314" width="13.85546875" style="3" bestFit="1" customWidth="1"/>
    <col min="13315" max="13328" width="8" style="3" customWidth="1"/>
    <col min="13329" max="13568" width="8.85546875" style="3"/>
    <col min="13569" max="13569" width="3.42578125" style="3" bestFit="1" customWidth="1"/>
    <col min="13570" max="13570" width="13.85546875" style="3" bestFit="1" customWidth="1"/>
    <col min="13571" max="13584" width="8" style="3" customWidth="1"/>
    <col min="13585" max="13824" width="8.85546875" style="3"/>
    <col min="13825" max="13825" width="3.42578125" style="3" bestFit="1" customWidth="1"/>
    <col min="13826" max="13826" width="13.85546875" style="3" bestFit="1" customWidth="1"/>
    <col min="13827" max="13840" width="8" style="3" customWidth="1"/>
    <col min="13841" max="14080" width="8.85546875" style="3"/>
    <col min="14081" max="14081" width="3.42578125" style="3" bestFit="1" customWidth="1"/>
    <col min="14082" max="14082" width="13.85546875" style="3" bestFit="1" customWidth="1"/>
    <col min="14083" max="14096" width="8" style="3" customWidth="1"/>
    <col min="14097" max="14336" width="8.85546875" style="3"/>
    <col min="14337" max="14337" width="3.42578125" style="3" bestFit="1" customWidth="1"/>
    <col min="14338" max="14338" width="13.85546875" style="3" bestFit="1" customWidth="1"/>
    <col min="14339" max="14352" width="8" style="3" customWidth="1"/>
    <col min="14353" max="14592" width="8.85546875" style="3"/>
    <col min="14593" max="14593" width="3.42578125" style="3" bestFit="1" customWidth="1"/>
    <col min="14594" max="14594" width="13.85546875" style="3" bestFit="1" customWidth="1"/>
    <col min="14595" max="14608" width="8" style="3" customWidth="1"/>
    <col min="14609" max="14848" width="8.85546875" style="3"/>
    <col min="14849" max="14849" width="3.42578125" style="3" bestFit="1" customWidth="1"/>
    <col min="14850" max="14850" width="13.85546875" style="3" bestFit="1" customWidth="1"/>
    <col min="14851" max="14864" width="8" style="3" customWidth="1"/>
    <col min="14865" max="15104" width="8.85546875" style="3"/>
    <col min="15105" max="15105" width="3.42578125" style="3" bestFit="1" customWidth="1"/>
    <col min="15106" max="15106" width="13.85546875" style="3" bestFit="1" customWidth="1"/>
    <col min="15107" max="15120" width="8" style="3" customWidth="1"/>
    <col min="15121" max="15360" width="8.85546875" style="3"/>
    <col min="15361" max="15361" width="3.42578125" style="3" bestFit="1" customWidth="1"/>
    <col min="15362" max="15362" width="13.85546875" style="3" bestFit="1" customWidth="1"/>
    <col min="15363" max="15376" width="8" style="3" customWidth="1"/>
    <col min="15377" max="15616" width="8.85546875" style="3"/>
    <col min="15617" max="15617" width="3.42578125" style="3" bestFit="1" customWidth="1"/>
    <col min="15618" max="15618" width="13.85546875" style="3" bestFit="1" customWidth="1"/>
    <col min="15619" max="15632" width="8" style="3" customWidth="1"/>
    <col min="15633" max="15872" width="8.85546875" style="3"/>
    <col min="15873" max="15873" width="3.42578125" style="3" bestFit="1" customWidth="1"/>
    <col min="15874" max="15874" width="13.85546875" style="3" bestFit="1" customWidth="1"/>
    <col min="15875" max="15888" width="8" style="3" customWidth="1"/>
    <col min="15889" max="16128" width="8.85546875" style="3"/>
    <col min="16129" max="16129" width="3.42578125" style="3" bestFit="1" customWidth="1"/>
    <col min="16130" max="16130" width="13.85546875" style="3" bestFit="1" customWidth="1"/>
    <col min="16131" max="16144" width="8" style="3" customWidth="1"/>
    <col min="16145" max="16384" width="8.85546875" style="3"/>
  </cols>
  <sheetData>
    <row r="1" spans="1:18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290" t="s">
        <v>114</v>
      </c>
      <c r="O1" s="290"/>
      <c r="P1" s="290"/>
      <c r="R1" s="86"/>
    </row>
    <row r="2" spans="1:18" s="56" customFormat="1" ht="18" x14ac:dyDescent="0.25">
      <c r="A2" s="291" t="s">
        <v>221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R2" s="87"/>
    </row>
    <row r="3" spans="1:18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R3" s="86"/>
    </row>
    <row r="4" spans="1:18" ht="15.75" x14ac:dyDescent="0.25">
      <c r="A4" s="292" t="s">
        <v>226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R4" s="86"/>
    </row>
    <row r="5" spans="1:18" ht="15.75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R5" s="86"/>
    </row>
    <row r="6" spans="1:18" s="50" customFormat="1" ht="12" thickBot="1" x14ac:dyDescent="0.3">
      <c r="A6" s="293" t="s">
        <v>2</v>
      </c>
      <c r="B6" s="293" t="s">
        <v>42</v>
      </c>
      <c r="C6" s="294" t="s">
        <v>62</v>
      </c>
      <c r="D6" s="294"/>
      <c r="E6" s="294"/>
      <c r="F6" s="294"/>
      <c r="G6" s="294"/>
      <c r="H6" s="294"/>
      <c r="I6" s="294"/>
      <c r="J6" s="294" t="s">
        <v>63</v>
      </c>
      <c r="K6" s="294"/>
      <c r="L6" s="294"/>
      <c r="M6" s="294"/>
      <c r="N6" s="294"/>
      <c r="O6" s="294"/>
      <c r="P6" s="294"/>
    </row>
    <row r="7" spans="1:18" s="50" customFormat="1" ht="12" thickBot="1" x14ac:dyDescent="0.3">
      <c r="A7" s="294"/>
      <c r="B7" s="293"/>
      <c r="C7" s="294" t="s">
        <v>46</v>
      </c>
      <c r="D7" s="294"/>
      <c r="E7" s="294"/>
      <c r="F7" s="294"/>
      <c r="G7" s="294"/>
      <c r="H7" s="294"/>
      <c r="I7" s="294"/>
      <c r="J7" s="294" t="s">
        <v>47</v>
      </c>
      <c r="K7" s="294"/>
      <c r="L7" s="294"/>
      <c r="M7" s="294"/>
      <c r="N7" s="294"/>
      <c r="O7" s="294"/>
      <c r="P7" s="294"/>
    </row>
    <row r="8" spans="1:18" s="88" customFormat="1" ht="34.5" thickBot="1" x14ac:dyDescent="0.3">
      <c r="A8" s="294"/>
      <c r="B8" s="293"/>
      <c r="C8" s="46" t="s">
        <v>48</v>
      </c>
      <c r="D8" s="46" t="s">
        <v>49</v>
      </c>
      <c r="E8" s="46" t="s">
        <v>111</v>
      </c>
      <c r="F8" s="46" t="s">
        <v>106</v>
      </c>
      <c r="G8" s="46" t="s">
        <v>107</v>
      </c>
      <c r="H8" s="46" t="s">
        <v>108</v>
      </c>
      <c r="I8" s="46" t="s">
        <v>112</v>
      </c>
      <c r="J8" s="46" t="s">
        <v>48</v>
      </c>
      <c r="K8" s="46" t="s">
        <v>49</v>
      </c>
      <c r="L8" s="46" t="s">
        <v>111</v>
      </c>
      <c r="M8" s="46" t="s">
        <v>106</v>
      </c>
      <c r="N8" s="46" t="s">
        <v>107</v>
      </c>
      <c r="O8" s="46" t="s">
        <v>108</v>
      </c>
      <c r="P8" s="46" t="s">
        <v>113</v>
      </c>
    </row>
    <row r="9" spans="1:18" s="50" customFormat="1" ht="12" thickBot="1" x14ac:dyDescent="0.3">
      <c r="A9" s="174">
        <v>1</v>
      </c>
      <c r="B9" s="174">
        <v>2</v>
      </c>
      <c r="C9" s="174">
        <v>3</v>
      </c>
      <c r="D9" s="174">
        <v>4</v>
      </c>
      <c r="E9" s="174">
        <v>5</v>
      </c>
      <c r="F9" s="174">
        <v>6</v>
      </c>
      <c r="G9" s="174">
        <v>7</v>
      </c>
      <c r="H9" s="174">
        <v>8</v>
      </c>
      <c r="I9" s="174">
        <v>9</v>
      </c>
      <c r="J9" s="174">
        <v>10</v>
      </c>
      <c r="K9" s="174">
        <v>11</v>
      </c>
      <c r="L9" s="174">
        <v>12</v>
      </c>
      <c r="M9" s="174">
        <v>13</v>
      </c>
      <c r="N9" s="174">
        <v>14</v>
      </c>
      <c r="O9" s="174">
        <v>15</v>
      </c>
      <c r="P9" s="174">
        <v>16</v>
      </c>
    </row>
    <row r="10" spans="1:18" ht="30.75" thickBot="1" x14ac:dyDescent="0.3">
      <c r="A10" s="4">
        <f>'[1]Format A-I'!A8</f>
        <v>1</v>
      </c>
      <c r="B10" s="84" t="str">
        <f>'Result Analysis XII'!L1</f>
        <v>Kareera, Mohindergarh</v>
      </c>
      <c r="C10" s="64">
        <f>COUNTIF('Result Analysis XII'!$I$6:$I$84,"RURAL")</f>
        <v>0</v>
      </c>
      <c r="D10" s="64">
        <f>COUNTIFS('Result Analysis XII'!$I$6:$I$84,"RURAL",'Result Analysis XII'!$Y$6:$Y$84,"&gt;=33")</f>
        <v>0</v>
      </c>
      <c r="E10" s="64">
        <f>COUNTIFS('Result Analysis XII'!$I$6:$I$84,"RURAL",'Result Analysis XII'!$Y$6:$Y$84,"&lt;33")</f>
        <v>0</v>
      </c>
      <c r="F10" s="64">
        <f>COUNTIFS('Result Analysis XII'!$I$6:$I$84,"RURAL",'Result Analysis XII'!$Y$6:$Y$84,"&gt;=33")-G10-H10-I10</f>
        <v>0</v>
      </c>
      <c r="G10" s="64">
        <f>COUNTIFS('Result Analysis XII'!$I$6:$I$84,"RURAL",'Result Analysis XII'!$Y$6:$Y$84,"&gt;=60")-H10-I10</f>
        <v>0</v>
      </c>
      <c r="H10" s="64">
        <f>COUNTIFS('Result Analysis XII'!$I$6:$I$84,"RURAL",'Result Analysis XII'!$Y$6:$Y$84,"&gt;=75")-I10</f>
        <v>0</v>
      </c>
      <c r="I10" s="64">
        <f>COUNTIFS('Result Analysis XII'!$I$6:$I$84,"RURAL",'Result Analysis XII'!$Y$6:$Y$84,"&gt;=90")</f>
        <v>0</v>
      </c>
      <c r="J10" s="64">
        <f>COUNTIF('Result Analysis XII'!$I$6:$I$84,"URBAN")</f>
        <v>0</v>
      </c>
      <c r="K10" s="64">
        <f>COUNTIFS('Result Analysis XII'!$I$6:$I$84,"URBAN",'Result Analysis XII'!$Y$6:$Y$84,"&gt;=33")</f>
        <v>0</v>
      </c>
      <c r="L10" s="64">
        <f>COUNTIFS('Result Analysis XII'!$I$6:$I$84,"URBAN",'Result Analysis XII'!$Y$6:$Y$84,"&lt;33")</f>
        <v>0</v>
      </c>
      <c r="M10" s="64">
        <f>COUNTIFS('Result Analysis XII'!$I$6:$I$84,"URBAN",'Result Analysis XII'!$Y$6:$Y$84,"&gt;=33")-N10-O10-P10</f>
        <v>0</v>
      </c>
      <c r="N10" s="64">
        <f>COUNTIFS('Result Analysis XII'!$I$6:$I$84,"URBAN",'Result Analysis XII'!$Y$6:$Y$84,"&gt;=60")-O10-P10</f>
        <v>0</v>
      </c>
      <c r="O10" s="64">
        <f>COUNTIFS('Result Analysis XII'!$I$6:$I$84,"URBAN",'Result Analysis XII'!$Y$6:$Y$84,"&gt;=75")-P10</f>
        <v>0</v>
      </c>
      <c r="P10" s="64">
        <f>COUNTIFS('Result Analysis XII'!$I$6:$I$84,"URBAN",'Result Analysis XII'!$Y$6:$Y$84,"&gt;=90")</f>
        <v>0</v>
      </c>
    </row>
  </sheetData>
  <sheetProtection algorithmName="SHA-512" hashValue="umv0FFToDrVzQlYSzYqgAVMYtxJ2s2+CK37TxJiOE9LJVq2Ls2FY7hU7ZiBvfvmHijc771tO5pCcubWt/gebNg==" saltValue="+ifYlwEpeSaOLkn31tA6Hw==" spinCount="100000" sheet="1" objects="1" scenarios="1"/>
  <mergeCells count="9">
    <mergeCell ref="N1:P1"/>
    <mergeCell ref="A2:P2"/>
    <mergeCell ref="A4:P4"/>
    <mergeCell ref="A6:A8"/>
    <mergeCell ref="B6:B8"/>
    <mergeCell ref="C6:I6"/>
    <mergeCell ref="J6:P6"/>
    <mergeCell ref="C7:I7"/>
    <mergeCell ref="J7:P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0"/>
  <sheetViews>
    <sheetView workbookViewId="0">
      <selection activeCell="D1" sqref="A1:X9"/>
    </sheetView>
  </sheetViews>
  <sheetFormatPr defaultColWidth="8.85546875" defaultRowHeight="15" x14ac:dyDescent="0.25"/>
  <cols>
    <col min="1" max="1" width="4.140625" style="54" bestFit="1" customWidth="1"/>
    <col min="2" max="2" width="15.5703125" style="54" customWidth="1"/>
    <col min="3" max="4" width="7.85546875" style="54" customWidth="1"/>
    <col min="5" max="9" width="6.7109375" style="54" customWidth="1"/>
    <col min="10" max="11" width="8" style="54" customWidth="1"/>
    <col min="12" max="16" width="6.7109375" style="54" customWidth="1"/>
    <col min="17" max="18" width="8" style="54" customWidth="1"/>
    <col min="19" max="23" width="6.7109375" style="54" customWidth="1"/>
    <col min="24" max="24" width="1.140625" style="3" hidden="1" customWidth="1"/>
    <col min="25" max="25" width="9.140625" style="3" hidden="1" customWidth="1"/>
    <col min="26" max="256" width="8.85546875" style="3"/>
    <col min="257" max="257" width="4.140625" style="3" bestFit="1" customWidth="1"/>
    <col min="258" max="258" width="13.85546875" style="3" bestFit="1" customWidth="1"/>
    <col min="259" max="260" width="7.85546875" style="3" customWidth="1"/>
    <col min="261" max="265" width="6.7109375" style="3" customWidth="1"/>
    <col min="266" max="267" width="8" style="3" customWidth="1"/>
    <col min="268" max="272" width="6.7109375" style="3" customWidth="1"/>
    <col min="273" max="274" width="8" style="3" customWidth="1"/>
    <col min="275" max="279" width="6.7109375" style="3" customWidth="1"/>
    <col min="280" max="281" width="0" style="3" hidden="1" customWidth="1"/>
    <col min="282" max="512" width="8.85546875" style="3"/>
    <col min="513" max="513" width="4.140625" style="3" bestFit="1" customWidth="1"/>
    <col min="514" max="514" width="13.85546875" style="3" bestFit="1" customWidth="1"/>
    <col min="515" max="516" width="7.85546875" style="3" customWidth="1"/>
    <col min="517" max="521" width="6.7109375" style="3" customWidth="1"/>
    <col min="522" max="523" width="8" style="3" customWidth="1"/>
    <col min="524" max="528" width="6.7109375" style="3" customWidth="1"/>
    <col min="529" max="530" width="8" style="3" customWidth="1"/>
    <col min="531" max="535" width="6.7109375" style="3" customWidth="1"/>
    <col min="536" max="537" width="0" style="3" hidden="1" customWidth="1"/>
    <col min="538" max="768" width="8.85546875" style="3"/>
    <col min="769" max="769" width="4.140625" style="3" bestFit="1" customWidth="1"/>
    <col min="770" max="770" width="13.85546875" style="3" bestFit="1" customWidth="1"/>
    <col min="771" max="772" width="7.85546875" style="3" customWidth="1"/>
    <col min="773" max="777" width="6.7109375" style="3" customWidth="1"/>
    <col min="778" max="779" width="8" style="3" customWidth="1"/>
    <col min="780" max="784" width="6.7109375" style="3" customWidth="1"/>
    <col min="785" max="786" width="8" style="3" customWidth="1"/>
    <col min="787" max="791" width="6.7109375" style="3" customWidth="1"/>
    <col min="792" max="793" width="0" style="3" hidden="1" customWidth="1"/>
    <col min="794" max="1024" width="8.85546875" style="3"/>
    <col min="1025" max="1025" width="4.140625" style="3" bestFit="1" customWidth="1"/>
    <col min="1026" max="1026" width="13.85546875" style="3" bestFit="1" customWidth="1"/>
    <col min="1027" max="1028" width="7.85546875" style="3" customWidth="1"/>
    <col min="1029" max="1033" width="6.7109375" style="3" customWidth="1"/>
    <col min="1034" max="1035" width="8" style="3" customWidth="1"/>
    <col min="1036" max="1040" width="6.7109375" style="3" customWidth="1"/>
    <col min="1041" max="1042" width="8" style="3" customWidth="1"/>
    <col min="1043" max="1047" width="6.7109375" style="3" customWidth="1"/>
    <col min="1048" max="1049" width="0" style="3" hidden="1" customWidth="1"/>
    <col min="1050" max="1280" width="8.85546875" style="3"/>
    <col min="1281" max="1281" width="4.140625" style="3" bestFit="1" customWidth="1"/>
    <col min="1282" max="1282" width="13.85546875" style="3" bestFit="1" customWidth="1"/>
    <col min="1283" max="1284" width="7.85546875" style="3" customWidth="1"/>
    <col min="1285" max="1289" width="6.7109375" style="3" customWidth="1"/>
    <col min="1290" max="1291" width="8" style="3" customWidth="1"/>
    <col min="1292" max="1296" width="6.7109375" style="3" customWidth="1"/>
    <col min="1297" max="1298" width="8" style="3" customWidth="1"/>
    <col min="1299" max="1303" width="6.7109375" style="3" customWidth="1"/>
    <col min="1304" max="1305" width="0" style="3" hidden="1" customWidth="1"/>
    <col min="1306" max="1536" width="8.85546875" style="3"/>
    <col min="1537" max="1537" width="4.140625" style="3" bestFit="1" customWidth="1"/>
    <col min="1538" max="1538" width="13.85546875" style="3" bestFit="1" customWidth="1"/>
    <col min="1539" max="1540" width="7.85546875" style="3" customWidth="1"/>
    <col min="1541" max="1545" width="6.7109375" style="3" customWidth="1"/>
    <col min="1546" max="1547" width="8" style="3" customWidth="1"/>
    <col min="1548" max="1552" width="6.7109375" style="3" customWidth="1"/>
    <col min="1553" max="1554" width="8" style="3" customWidth="1"/>
    <col min="1555" max="1559" width="6.7109375" style="3" customWidth="1"/>
    <col min="1560" max="1561" width="0" style="3" hidden="1" customWidth="1"/>
    <col min="1562" max="1792" width="8.85546875" style="3"/>
    <col min="1793" max="1793" width="4.140625" style="3" bestFit="1" customWidth="1"/>
    <col min="1794" max="1794" width="13.85546875" style="3" bestFit="1" customWidth="1"/>
    <col min="1795" max="1796" width="7.85546875" style="3" customWidth="1"/>
    <col min="1797" max="1801" width="6.7109375" style="3" customWidth="1"/>
    <col min="1802" max="1803" width="8" style="3" customWidth="1"/>
    <col min="1804" max="1808" width="6.7109375" style="3" customWidth="1"/>
    <col min="1809" max="1810" width="8" style="3" customWidth="1"/>
    <col min="1811" max="1815" width="6.7109375" style="3" customWidth="1"/>
    <col min="1816" max="1817" width="0" style="3" hidden="1" customWidth="1"/>
    <col min="1818" max="2048" width="8.85546875" style="3"/>
    <col min="2049" max="2049" width="4.140625" style="3" bestFit="1" customWidth="1"/>
    <col min="2050" max="2050" width="13.85546875" style="3" bestFit="1" customWidth="1"/>
    <col min="2051" max="2052" width="7.85546875" style="3" customWidth="1"/>
    <col min="2053" max="2057" width="6.7109375" style="3" customWidth="1"/>
    <col min="2058" max="2059" width="8" style="3" customWidth="1"/>
    <col min="2060" max="2064" width="6.7109375" style="3" customWidth="1"/>
    <col min="2065" max="2066" width="8" style="3" customWidth="1"/>
    <col min="2067" max="2071" width="6.7109375" style="3" customWidth="1"/>
    <col min="2072" max="2073" width="0" style="3" hidden="1" customWidth="1"/>
    <col min="2074" max="2304" width="8.85546875" style="3"/>
    <col min="2305" max="2305" width="4.140625" style="3" bestFit="1" customWidth="1"/>
    <col min="2306" max="2306" width="13.85546875" style="3" bestFit="1" customWidth="1"/>
    <col min="2307" max="2308" width="7.85546875" style="3" customWidth="1"/>
    <col min="2309" max="2313" width="6.7109375" style="3" customWidth="1"/>
    <col min="2314" max="2315" width="8" style="3" customWidth="1"/>
    <col min="2316" max="2320" width="6.7109375" style="3" customWidth="1"/>
    <col min="2321" max="2322" width="8" style="3" customWidth="1"/>
    <col min="2323" max="2327" width="6.7109375" style="3" customWidth="1"/>
    <col min="2328" max="2329" width="0" style="3" hidden="1" customWidth="1"/>
    <col min="2330" max="2560" width="8.85546875" style="3"/>
    <col min="2561" max="2561" width="4.140625" style="3" bestFit="1" customWidth="1"/>
    <col min="2562" max="2562" width="13.85546875" style="3" bestFit="1" customWidth="1"/>
    <col min="2563" max="2564" width="7.85546875" style="3" customWidth="1"/>
    <col min="2565" max="2569" width="6.7109375" style="3" customWidth="1"/>
    <col min="2570" max="2571" width="8" style="3" customWidth="1"/>
    <col min="2572" max="2576" width="6.7109375" style="3" customWidth="1"/>
    <col min="2577" max="2578" width="8" style="3" customWidth="1"/>
    <col min="2579" max="2583" width="6.7109375" style="3" customWidth="1"/>
    <col min="2584" max="2585" width="0" style="3" hidden="1" customWidth="1"/>
    <col min="2586" max="2816" width="8.85546875" style="3"/>
    <col min="2817" max="2817" width="4.140625" style="3" bestFit="1" customWidth="1"/>
    <col min="2818" max="2818" width="13.85546875" style="3" bestFit="1" customWidth="1"/>
    <col min="2819" max="2820" width="7.85546875" style="3" customWidth="1"/>
    <col min="2821" max="2825" width="6.7109375" style="3" customWidth="1"/>
    <col min="2826" max="2827" width="8" style="3" customWidth="1"/>
    <col min="2828" max="2832" width="6.7109375" style="3" customWidth="1"/>
    <col min="2833" max="2834" width="8" style="3" customWidth="1"/>
    <col min="2835" max="2839" width="6.7109375" style="3" customWidth="1"/>
    <col min="2840" max="2841" width="0" style="3" hidden="1" customWidth="1"/>
    <col min="2842" max="3072" width="8.85546875" style="3"/>
    <col min="3073" max="3073" width="4.140625" style="3" bestFit="1" customWidth="1"/>
    <col min="3074" max="3074" width="13.85546875" style="3" bestFit="1" customWidth="1"/>
    <col min="3075" max="3076" width="7.85546875" style="3" customWidth="1"/>
    <col min="3077" max="3081" width="6.7109375" style="3" customWidth="1"/>
    <col min="3082" max="3083" width="8" style="3" customWidth="1"/>
    <col min="3084" max="3088" width="6.7109375" style="3" customWidth="1"/>
    <col min="3089" max="3090" width="8" style="3" customWidth="1"/>
    <col min="3091" max="3095" width="6.7109375" style="3" customWidth="1"/>
    <col min="3096" max="3097" width="0" style="3" hidden="1" customWidth="1"/>
    <col min="3098" max="3328" width="8.85546875" style="3"/>
    <col min="3329" max="3329" width="4.140625" style="3" bestFit="1" customWidth="1"/>
    <col min="3330" max="3330" width="13.85546875" style="3" bestFit="1" customWidth="1"/>
    <col min="3331" max="3332" width="7.85546875" style="3" customWidth="1"/>
    <col min="3333" max="3337" width="6.7109375" style="3" customWidth="1"/>
    <col min="3338" max="3339" width="8" style="3" customWidth="1"/>
    <col min="3340" max="3344" width="6.7109375" style="3" customWidth="1"/>
    <col min="3345" max="3346" width="8" style="3" customWidth="1"/>
    <col min="3347" max="3351" width="6.7109375" style="3" customWidth="1"/>
    <col min="3352" max="3353" width="0" style="3" hidden="1" customWidth="1"/>
    <col min="3354" max="3584" width="8.85546875" style="3"/>
    <col min="3585" max="3585" width="4.140625" style="3" bestFit="1" customWidth="1"/>
    <col min="3586" max="3586" width="13.85546875" style="3" bestFit="1" customWidth="1"/>
    <col min="3587" max="3588" width="7.85546875" style="3" customWidth="1"/>
    <col min="3589" max="3593" width="6.7109375" style="3" customWidth="1"/>
    <col min="3594" max="3595" width="8" style="3" customWidth="1"/>
    <col min="3596" max="3600" width="6.7109375" style="3" customWidth="1"/>
    <col min="3601" max="3602" width="8" style="3" customWidth="1"/>
    <col min="3603" max="3607" width="6.7109375" style="3" customWidth="1"/>
    <col min="3608" max="3609" width="0" style="3" hidden="1" customWidth="1"/>
    <col min="3610" max="3840" width="8.85546875" style="3"/>
    <col min="3841" max="3841" width="4.140625" style="3" bestFit="1" customWidth="1"/>
    <col min="3842" max="3842" width="13.85546875" style="3" bestFit="1" customWidth="1"/>
    <col min="3843" max="3844" width="7.85546875" style="3" customWidth="1"/>
    <col min="3845" max="3849" width="6.7109375" style="3" customWidth="1"/>
    <col min="3850" max="3851" width="8" style="3" customWidth="1"/>
    <col min="3852" max="3856" width="6.7109375" style="3" customWidth="1"/>
    <col min="3857" max="3858" width="8" style="3" customWidth="1"/>
    <col min="3859" max="3863" width="6.7109375" style="3" customWidth="1"/>
    <col min="3864" max="3865" width="0" style="3" hidden="1" customWidth="1"/>
    <col min="3866" max="4096" width="8.85546875" style="3"/>
    <col min="4097" max="4097" width="4.140625" style="3" bestFit="1" customWidth="1"/>
    <col min="4098" max="4098" width="13.85546875" style="3" bestFit="1" customWidth="1"/>
    <col min="4099" max="4100" width="7.85546875" style="3" customWidth="1"/>
    <col min="4101" max="4105" width="6.7109375" style="3" customWidth="1"/>
    <col min="4106" max="4107" width="8" style="3" customWidth="1"/>
    <col min="4108" max="4112" width="6.7109375" style="3" customWidth="1"/>
    <col min="4113" max="4114" width="8" style="3" customWidth="1"/>
    <col min="4115" max="4119" width="6.7109375" style="3" customWidth="1"/>
    <col min="4120" max="4121" width="0" style="3" hidden="1" customWidth="1"/>
    <col min="4122" max="4352" width="8.85546875" style="3"/>
    <col min="4353" max="4353" width="4.140625" style="3" bestFit="1" customWidth="1"/>
    <col min="4354" max="4354" width="13.85546875" style="3" bestFit="1" customWidth="1"/>
    <col min="4355" max="4356" width="7.85546875" style="3" customWidth="1"/>
    <col min="4357" max="4361" width="6.7109375" style="3" customWidth="1"/>
    <col min="4362" max="4363" width="8" style="3" customWidth="1"/>
    <col min="4364" max="4368" width="6.7109375" style="3" customWidth="1"/>
    <col min="4369" max="4370" width="8" style="3" customWidth="1"/>
    <col min="4371" max="4375" width="6.7109375" style="3" customWidth="1"/>
    <col min="4376" max="4377" width="0" style="3" hidden="1" customWidth="1"/>
    <col min="4378" max="4608" width="8.85546875" style="3"/>
    <col min="4609" max="4609" width="4.140625" style="3" bestFit="1" customWidth="1"/>
    <col min="4610" max="4610" width="13.85546875" style="3" bestFit="1" customWidth="1"/>
    <col min="4611" max="4612" width="7.85546875" style="3" customWidth="1"/>
    <col min="4613" max="4617" width="6.7109375" style="3" customWidth="1"/>
    <col min="4618" max="4619" width="8" style="3" customWidth="1"/>
    <col min="4620" max="4624" width="6.7109375" style="3" customWidth="1"/>
    <col min="4625" max="4626" width="8" style="3" customWidth="1"/>
    <col min="4627" max="4631" width="6.7109375" style="3" customWidth="1"/>
    <col min="4632" max="4633" width="0" style="3" hidden="1" customWidth="1"/>
    <col min="4634" max="4864" width="8.85546875" style="3"/>
    <col min="4865" max="4865" width="4.140625" style="3" bestFit="1" customWidth="1"/>
    <col min="4866" max="4866" width="13.85546875" style="3" bestFit="1" customWidth="1"/>
    <col min="4867" max="4868" width="7.85546875" style="3" customWidth="1"/>
    <col min="4869" max="4873" width="6.7109375" style="3" customWidth="1"/>
    <col min="4874" max="4875" width="8" style="3" customWidth="1"/>
    <col min="4876" max="4880" width="6.7109375" style="3" customWidth="1"/>
    <col min="4881" max="4882" width="8" style="3" customWidth="1"/>
    <col min="4883" max="4887" width="6.7109375" style="3" customWidth="1"/>
    <col min="4888" max="4889" width="0" style="3" hidden="1" customWidth="1"/>
    <col min="4890" max="5120" width="8.85546875" style="3"/>
    <col min="5121" max="5121" width="4.140625" style="3" bestFit="1" customWidth="1"/>
    <col min="5122" max="5122" width="13.85546875" style="3" bestFit="1" customWidth="1"/>
    <col min="5123" max="5124" width="7.85546875" style="3" customWidth="1"/>
    <col min="5125" max="5129" width="6.7109375" style="3" customWidth="1"/>
    <col min="5130" max="5131" width="8" style="3" customWidth="1"/>
    <col min="5132" max="5136" width="6.7109375" style="3" customWidth="1"/>
    <col min="5137" max="5138" width="8" style="3" customWidth="1"/>
    <col min="5139" max="5143" width="6.7109375" style="3" customWidth="1"/>
    <col min="5144" max="5145" width="0" style="3" hidden="1" customWidth="1"/>
    <col min="5146" max="5376" width="8.85546875" style="3"/>
    <col min="5377" max="5377" width="4.140625" style="3" bestFit="1" customWidth="1"/>
    <col min="5378" max="5378" width="13.85546875" style="3" bestFit="1" customWidth="1"/>
    <col min="5379" max="5380" width="7.85546875" style="3" customWidth="1"/>
    <col min="5381" max="5385" width="6.7109375" style="3" customWidth="1"/>
    <col min="5386" max="5387" width="8" style="3" customWidth="1"/>
    <col min="5388" max="5392" width="6.7109375" style="3" customWidth="1"/>
    <col min="5393" max="5394" width="8" style="3" customWidth="1"/>
    <col min="5395" max="5399" width="6.7109375" style="3" customWidth="1"/>
    <col min="5400" max="5401" width="0" style="3" hidden="1" customWidth="1"/>
    <col min="5402" max="5632" width="8.85546875" style="3"/>
    <col min="5633" max="5633" width="4.140625" style="3" bestFit="1" customWidth="1"/>
    <col min="5634" max="5634" width="13.85546875" style="3" bestFit="1" customWidth="1"/>
    <col min="5635" max="5636" width="7.85546875" style="3" customWidth="1"/>
    <col min="5637" max="5641" width="6.7109375" style="3" customWidth="1"/>
    <col min="5642" max="5643" width="8" style="3" customWidth="1"/>
    <col min="5644" max="5648" width="6.7109375" style="3" customWidth="1"/>
    <col min="5649" max="5650" width="8" style="3" customWidth="1"/>
    <col min="5651" max="5655" width="6.7109375" style="3" customWidth="1"/>
    <col min="5656" max="5657" width="0" style="3" hidden="1" customWidth="1"/>
    <col min="5658" max="5888" width="8.85546875" style="3"/>
    <col min="5889" max="5889" width="4.140625" style="3" bestFit="1" customWidth="1"/>
    <col min="5890" max="5890" width="13.85546875" style="3" bestFit="1" customWidth="1"/>
    <col min="5891" max="5892" width="7.85546875" style="3" customWidth="1"/>
    <col min="5893" max="5897" width="6.7109375" style="3" customWidth="1"/>
    <col min="5898" max="5899" width="8" style="3" customWidth="1"/>
    <col min="5900" max="5904" width="6.7109375" style="3" customWidth="1"/>
    <col min="5905" max="5906" width="8" style="3" customWidth="1"/>
    <col min="5907" max="5911" width="6.7109375" style="3" customWidth="1"/>
    <col min="5912" max="5913" width="0" style="3" hidden="1" customWidth="1"/>
    <col min="5914" max="6144" width="8.85546875" style="3"/>
    <col min="6145" max="6145" width="4.140625" style="3" bestFit="1" customWidth="1"/>
    <col min="6146" max="6146" width="13.85546875" style="3" bestFit="1" customWidth="1"/>
    <col min="6147" max="6148" width="7.85546875" style="3" customWidth="1"/>
    <col min="6149" max="6153" width="6.7109375" style="3" customWidth="1"/>
    <col min="6154" max="6155" width="8" style="3" customWidth="1"/>
    <col min="6156" max="6160" width="6.7109375" style="3" customWidth="1"/>
    <col min="6161" max="6162" width="8" style="3" customWidth="1"/>
    <col min="6163" max="6167" width="6.7109375" style="3" customWidth="1"/>
    <col min="6168" max="6169" width="0" style="3" hidden="1" customWidth="1"/>
    <col min="6170" max="6400" width="8.85546875" style="3"/>
    <col min="6401" max="6401" width="4.140625" style="3" bestFit="1" customWidth="1"/>
    <col min="6402" max="6402" width="13.85546875" style="3" bestFit="1" customWidth="1"/>
    <col min="6403" max="6404" width="7.85546875" style="3" customWidth="1"/>
    <col min="6405" max="6409" width="6.7109375" style="3" customWidth="1"/>
    <col min="6410" max="6411" width="8" style="3" customWidth="1"/>
    <col min="6412" max="6416" width="6.7109375" style="3" customWidth="1"/>
    <col min="6417" max="6418" width="8" style="3" customWidth="1"/>
    <col min="6419" max="6423" width="6.7109375" style="3" customWidth="1"/>
    <col min="6424" max="6425" width="0" style="3" hidden="1" customWidth="1"/>
    <col min="6426" max="6656" width="8.85546875" style="3"/>
    <col min="6657" max="6657" width="4.140625" style="3" bestFit="1" customWidth="1"/>
    <col min="6658" max="6658" width="13.85546875" style="3" bestFit="1" customWidth="1"/>
    <col min="6659" max="6660" width="7.85546875" style="3" customWidth="1"/>
    <col min="6661" max="6665" width="6.7109375" style="3" customWidth="1"/>
    <col min="6666" max="6667" width="8" style="3" customWidth="1"/>
    <col min="6668" max="6672" width="6.7109375" style="3" customWidth="1"/>
    <col min="6673" max="6674" width="8" style="3" customWidth="1"/>
    <col min="6675" max="6679" width="6.7109375" style="3" customWidth="1"/>
    <col min="6680" max="6681" width="0" style="3" hidden="1" customWidth="1"/>
    <col min="6682" max="6912" width="8.85546875" style="3"/>
    <col min="6913" max="6913" width="4.140625" style="3" bestFit="1" customWidth="1"/>
    <col min="6914" max="6914" width="13.85546875" style="3" bestFit="1" customWidth="1"/>
    <col min="6915" max="6916" width="7.85546875" style="3" customWidth="1"/>
    <col min="6917" max="6921" width="6.7109375" style="3" customWidth="1"/>
    <col min="6922" max="6923" width="8" style="3" customWidth="1"/>
    <col min="6924" max="6928" width="6.7109375" style="3" customWidth="1"/>
    <col min="6929" max="6930" width="8" style="3" customWidth="1"/>
    <col min="6931" max="6935" width="6.7109375" style="3" customWidth="1"/>
    <col min="6936" max="6937" width="0" style="3" hidden="1" customWidth="1"/>
    <col min="6938" max="7168" width="8.85546875" style="3"/>
    <col min="7169" max="7169" width="4.140625" style="3" bestFit="1" customWidth="1"/>
    <col min="7170" max="7170" width="13.85546875" style="3" bestFit="1" customWidth="1"/>
    <col min="7171" max="7172" width="7.85546875" style="3" customWidth="1"/>
    <col min="7173" max="7177" width="6.7109375" style="3" customWidth="1"/>
    <col min="7178" max="7179" width="8" style="3" customWidth="1"/>
    <col min="7180" max="7184" width="6.7109375" style="3" customWidth="1"/>
    <col min="7185" max="7186" width="8" style="3" customWidth="1"/>
    <col min="7187" max="7191" width="6.7109375" style="3" customWidth="1"/>
    <col min="7192" max="7193" width="0" style="3" hidden="1" customWidth="1"/>
    <col min="7194" max="7424" width="8.85546875" style="3"/>
    <col min="7425" max="7425" width="4.140625" style="3" bestFit="1" customWidth="1"/>
    <col min="7426" max="7426" width="13.85546875" style="3" bestFit="1" customWidth="1"/>
    <col min="7427" max="7428" width="7.85546875" style="3" customWidth="1"/>
    <col min="7429" max="7433" width="6.7109375" style="3" customWidth="1"/>
    <col min="7434" max="7435" width="8" style="3" customWidth="1"/>
    <col min="7436" max="7440" width="6.7109375" style="3" customWidth="1"/>
    <col min="7441" max="7442" width="8" style="3" customWidth="1"/>
    <col min="7443" max="7447" width="6.7109375" style="3" customWidth="1"/>
    <col min="7448" max="7449" width="0" style="3" hidden="1" customWidth="1"/>
    <col min="7450" max="7680" width="8.85546875" style="3"/>
    <col min="7681" max="7681" width="4.140625" style="3" bestFit="1" customWidth="1"/>
    <col min="7682" max="7682" width="13.85546875" style="3" bestFit="1" customWidth="1"/>
    <col min="7683" max="7684" width="7.85546875" style="3" customWidth="1"/>
    <col min="7685" max="7689" width="6.7109375" style="3" customWidth="1"/>
    <col min="7690" max="7691" width="8" style="3" customWidth="1"/>
    <col min="7692" max="7696" width="6.7109375" style="3" customWidth="1"/>
    <col min="7697" max="7698" width="8" style="3" customWidth="1"/>
    <col min="7699" max="7703" width="6.7109375" style="3" customWidth="1"/>
    <col min="7704" max="7705" width="0" style="3" hidden="1" customWidth="1"/>
    <col min="7706" max="7936" width="8.85546875" style="3"/>
    <col min="7937" max="7937" width="4.140625" style="3" bestFit="1" customWidth="1"/>
    <col min="7938" max="7938" width="13.85546875" style="3" bestFit="1" customWidth="1"/>
    <col min="7939" max="7940" width="7.85546875" style="3" customWidth="1"/>
    <col min="7941" max="7945" width="6.7109375" style="3" customWidth="1"/>
    <col min="7946" max="7947" width="8" style="3" customWidth="1"/>
    <col min="7948" max="7952" width="6.7109375" style="3" customWidth="1"/>
    <col min="7953" max="7954" width="8" style="3" customWidth="1"/>
    <col min="7955" max="7959" width="6.7109375" style="3" customWidth="1"/>
    <col min="7960" max="7961" width="0" style="3" hidden="1" customWidth="1"/>
    <col min="7962" max="8192" width="8.85546875" style="3"/>
    <col min="8193" max="8193" width="4.140625" style="3" bestFit="1" customWidth="1"/>
    <col min="8194" max="8194" width="13.85546875" style="3" bestFit="1" customWidth="1"/>
    <col min="8195" max="8196" width="7.85546875" style="3" customWidth="1"/>
    <col min="8197" max="8201" width="6.7109375" style="3" customWidth="1"/>
    <col min="8202" max="8203" width="8" style="3" customWidth="1"/>
    <col min="8204" max="8208" width="6.7109375" style="3" customWidth="1"/>
    <col min="8209" max="8210" width="8" style="3" customWidth="1"/>
    <col min="8211" max="8215" width="6.7109375" style="3" customWidth="1"/>
    <col min="8216" max="8217" width="0" style="3" hidden="1" customWidth="1"/>
    <col min="8218" max="8448" width="8.85546875" style="3"/>
    <col min="8449" max="8449" width="4.140625" style="3" bestFit="1" customWidth="1"/>
    <col min="8450" max="8450" width="13.85546875" style="3" bestFit="1" customWidth="1"/>
    <col min="8451" max="8452" width="7.85546875" style="3" customWidth="1"/>
    <col min="8453" max="8457" width="6.7109375" style="3" customWidth="1"/>
    <col min="8458" max="8459" width="8" style="3" customWidth="1"/>
    <col min="8460" max="8464" width="6.7109375" style="3" customWidth="1"/>
    <col min="8465" max="8466" width="8" style="3" customWidth="1"/>
    <col min="8467" max="8471" width="6.7109375" style="3" customWidth="1"/>
    <col min="8472" max="8473" width="0" style="3" hidden="1" customWidth="1"/>
    <col min="8474" max="8704" width="8.85546875" style="3"/>
    <col min="8705" max="8705" width="4.140625" style="3" bestFit="1" customWidth="1"/>
    <col min="8706" max="8706" width="13.85546875" style="3" bestFit="1" customWidth="1"/>
    <col min="8707" max="8708" width="7.85546875" style="3" customWidth="1"/>
    <col min="8709" max="8713" width="6.7109375" style="3" customWidth="1"/>
    <col min="8714" max="8715" width="8" style="3" customWidth="1"/>
    <col min="8716" max="8720" width="6.7109375" style="3" customWidth="1"/>
    <col min="8721" max="8722" width="8" style="3" customWidth="1"/>
    <col min="8723" max="8727" width="6.7109375" style="3" customWidth="1"/>
    <col min="8728" max="8729" width="0" style="3" hidden="1" customWidth="1"/>
    <col min="8730" max="8960" width="8.85546875" style="3"/>
    <col min="8961" max="8961" width="4.140625" style="3" bestFit="1" customWidth="1"/>
    <col min="8962" max="8962" width="13.85546875" style="3" bestFit="1" customWidth="1"/>
    <col min="8963" max="8964" width="7.85546875" style="3" customWidth="1"/>
    <col min="8965" max="8969" width="6.7109375" style="3" customWidth="1"/>
    <col min="8970" max="8971" width="8" style="3" customWidth="1"/>
    <col min="8972" max="8976" width="6.7109375" style="3" customWidth="1"/>
    <col min="8977" max="8978" width="8" style="3" customWidth="1"/>
    <col min="8979" max="8983" width="6.7109375" style="3" customWidth="1"/>
    <col min="8984" max="8985" width="0" style="3" hidden="1" customWidth="1"/>
    <col min="8986" max="9216" width="8.85546875" style="3"/>
    <col min="9217" max="9217" width="4.140625" style="3" bestFit="1" customWidth="1"/>
    <col min="9218" max="9218" width="13.85546875" style="3" bestFit="1" customWidth="1"/>
    <col min="9219" max="9220" width="7.85546875" style="3" customWidth="1"/>
    <col min="9221" max="9225" width="6.7109375" style="3" customWidth="1"/>
    <col min="9226" max="9227" width="8" style="3" customWidth="1"/>
    <col min="9228" max="9232" width="6.7109375" style="3" customWidth="1"/>
    <col min="9233" max="9234" width="8" style="3" customWidth="1"/>
    <col min="9235" max="9239" width="6.7109375" style="3" customWidth="1"/>
    <col min="9240" max="9241" width="0" style="3" hidden="1" customWidth="1"/>
    <col min="9242" max="9472" width="8.85546875" style="3"/>
    <col min="9473" max="9473" width="4.140625" style="3" bestFit="1" customWidth="1"/>
    <col min="9474" max="9474" width="13.85546875" style="3" bestFit="1" customWidth="1"/>
    <col min="9475" max="9476" width="7.85546875" style="3" customWidth="1"/>
    <col min="9477" max="9481" width="6.7109375" style="3" customWidth="1"/>
    <col min="9482" max="9483" width="8" style="3" customWidth="1"/>
    <col min="9484" max="9488" width="6.7109375" style="3" customWidth="1"/>
    <col min="9489" max="9490" width="8" style="3" customWidth="1"/>
    <col min="9491" max="9495" width="6.7109375" style="3" customWidth="1"/>
    <col min="9496" max="9497" width="0" style="3" hidden="1" customWidth="1"/>
    <col min="9498" max="9728" width="8.85546875" style="3"/>
    <col min="9729" max="9729" width="4.140625" style="3" bestFit="1" customWidth="1"/>
    <col min="9730" max="9730" width="13.85546875" style="3" bestFit="1" customWidth="1"/>
    <col min="9731" max="9732" width="7.85546875" style="3" customWidth="1"/>
    <col min="9733" max="9737" width="6.7109375" style="3" customWidth="1"/>
    <col min="9738" max="9739" width="8" style="3" customWidth="1"/>
    <col min="9740" max="9744" width="6.7109375" style="3" customWidth="1"/>
    <col min="9745" max="9746" width="8" style="3" customWidth="1"/>
    <col min="9747" max="9751" width="6.7109375" style="3" customWidth="1"/>
    <col min="9752" max="9753" width="0" style="3" hidden="1" customWidth="1"/>
    <col min="9754" max="9984" width="8.85546875" style="3"/>
    <col min="9985" max="9985" width="4.140625" style="3" bestFit="1" customWidth="1"/>
    <col min="9986" max="9986" width="13.85546875" style="3" bestFit="1" customWidth="1"/>
    <col min="9987" max="9988" width="7.85546875" style="3" customWidth="1"/>
    <col min="9989" max="9993" width="6.7109375" style="3" customWidth="1"/>
    <col min="9994" max="9995" width="8" style="3" customWidth="1"/>
    <col min="9996" max="10000" width="6.7109375" style="3" customWidth="1"/>
    <col min="10001" max="10002" width="8" style="3" customWidth="1"/>
    <col min="10003" max="10007" width="6.7109375" style="3" customWidth="1"/>
    <col min="10008" max="10009" width="0" style="3" hidden="1" customWidth="1"/>
    <col min="10010" max="10240" width="8.85546875" style="3"/>
    <col min="10241" max="10241" width="4.140625" style="3" bestFit="1" customWidth="1"/>
    <col min="10242" max="10242" width="13.85546875" style="3" bestFit="1" customWidth="1"/>
    <col min="10243" max="10244" width="7.85546875" style="3" customWidth="1"/>
    <col min="10245" max="10249" width="6.7109375" style="3" customWidth="1"/>
    <col min="10250" max="10251" width="8" style="3" customWidth="1"/>
    <col min="10252" max="10256" width="6.7109375" style="3" customWidth="1"/>
    <col min="10257" max="10258" width="8" style="3" customWidth="1"/>
    <col min="10259" max="10263" width="6.7109375" style="3" customWidth="1"/>
    <col min="10264" max="10265" width="0" style="3" hidden="1" customWidth="1"/>
    <col min="10266" max="10496" width="8.85546875" style="3"/>
    <col min="10497" max="10497" width="4.140625" style="3" bestFit="1" customWidth="1"/>
    <col min="10498" max="10498" width="13.85546875" style="3" bestFit="1" customWidth="1"/>
    <col min="10499" max="10500" width="7.85546875" style="3" customWidth="1"/>
    <col min="10501" max="10505" width="6.7109375" style="3" customWidth="1"/>
    <col min="10506" max="10507" width="8" style="3" customWidth="1"/>
    <col min="10508" max="10512" width="6.7109375" style="3" customWidth="1"/>
    <col min="10513" max="10514" width="8" style="3" customWidth="1"/>
    <col min="10515" max="10519" width="6.7109375" style="3" customWidth="1"/>
    <col min="10520" max="10521" width="0" style="3" hidden="1" customWidth="1"/>
    <col min="10522" max="10752" width="8.85546875" style="3"/>
    <col min="10753" max="10753" width="4.140625" style="3" bestFit="1" customWidth="1"/>
    <col min="10754" max="10754" width="13.85546875" style="3" bestFit="1" customWidth="1"/>
    <col min="10755" max="10756" width="7.85546875" style="3" customWidth="1"/>
    <col min="10757" max="10761" width="6.7109375" style="3" customWidth="1"/>
    <col min="10762" max="10763" width="8" style="3" customWidth="1"/>
    <col min="10764" max="10768" width="6.7109375" style="3" customWidth="1"/>
    <col min="10769" max="10770" width="8" style="3" customWidth="1"/>
    <col min="10771" max="10775" width="6.7109375" style="3" customWidth="1"/>
    <col min="10776" max="10777" width="0" style="3" hidden="1" customWidth="1"/>
    <col min="10778" max="11008" width="8.85546875" style="3"/>
    <col min="11009" max="11009" width="4.140625" style="3" bestFit="1" customWidth="1"/>
    <col min="11010" max="11010" width="13.85546875" style="3" bestFit="1" customWidth="1"/>
    <col min="11011" max="11012" width="7.85546875" style="3" customWidth="1"/>
    <col min="11013" max="11017" width="6.7109375" style="3" customWidth="1"/>
    <col min="11018" max="11019" width="8" style="3" customWidth="1"/>
    <col min="11020" max="11024" width="6.7109375" style="3" customWidth="1"/>
    <col min="11025" max="11026" width="8" style="3" customWidth="1"/>
    <col min="11027" max="11031" width="6.7109375" style="3" customWidth="1"/>
    <col min="11032" max="11033" width="0" style="3" hidden="1" customWidth="1"/>
    <col min="11034" max="11264" width="8.85546875" style="3"/>
    <col min="11265" max="11265" width="4.140625" style="3" bestFit="1" customWidth="1"/>
    <col min="11266" max="11266" width="13.85546875" style="3" bestFit="1" customWidth="1"/>
    <col min="11267" max="11268" width="7.85546875" style="3" customWidth="1"/>
    <col min="11269" max="11273" width="6.7109375" style="3" customWidth="1"/>
    <col min="11274" max="11275" width="8" style="3" customWidth="1"/>
    <col min="11276" max="11280" width="6.7109375" style="3" customWidth="1"/>
    <col min="11281" max="11282" width="8" style="3" customWidth="1"/>
    <col min="11283" max="11287" width="6.7109375" style="3" customWidth="1"/>
    <col min="11288" max="11289" width="0" style="3" hidden="1" customWidth="1"/>
    <col min="11290" max="11520" width="8.85546875" style="3"/>
    <col min="11521" max="11521" width="4.140625" style="3" bestFit="1" customWidth="1"/>
    <col min="11522" max="11522" width="13.85546875" style="3" bestFit="1" customWidth="1"/>
    <col min="11523" max="11524" width="7.85546875" style="3" customWidth="1"/>
    <col min="11525" max="11529" width="6.7109375" style="3" customWidth="1"/>
    <col min="11530" max="11531" width="8" style="3" customWidth="1"/>
    <col min="11532" max="11536" width="6.7109375" style="3" customWidth="1"/>
    <col min="11537" max="11538" width="8" style="3" customWidth="1"/>
    <col min="11539" max="11543" width="6.7109375" style="3" customWidth="1"/>
    <col min="11544" max="11545" width="0" style="3" hidden="1" customWidth="1"/>
    <col min="11546" max="11776" width="8.85546875" style="3"/>
    <col min="11777" max="11777" width="4.140625" style="3" bestFit="1" customWidth="1"/>
    <col min="11778" max="11778" width="13.85546875" style="3" bestFit="1" customWidth="1"/>
    <col min="11779" max="11780" width="7.85546875" style="3" customWidth="1"/>
    <col min="11781" max="11785" width="6.7109375" style="3" customWidth="1"/>
    <col min="11786" max="11787" width="8" style="3" customWidth="1"/>
    <col min="11788" max="11792" width="6.7109375" style="3" customWidth="1"/>
    <col min="11793" max="11794" width="8" style="3" customWidth="1"/>
    <col min="11795" max="11799" width="6.7109375" style="3" customWidth="1"/>
    <col min="11800" max="11801" width="0" style="3" hidden="1" customWidth="1"/>
    <col min="11802" max="12032" width="8.85546875" style="3"/>
    <col min="12033" max="12033" width="4.140625" style="3" bestFit="1" customWidth="1"/>
    <col min="12034" max="12034" width="13.85546875" style="3" bestFit="1" customWidth="1"/>
    <col min="12035" max="12036" width="7.85546875" style="3" customWidth="1"/>
    <col min="12037" max="12041" width="6.7109375" style="3" customWidth="1"/>
    <col min="12042" max="12043" width="8" style="3" customWidth="1"/>
    <col min="12044" max="12048" width="6.7109375" style="3" customWidth="1"/>
    <col min="12049" max="12050" width="8" style="3" customWidth="1"/>
    <col min="12051" max="12055" width="6.7109375" style="3" customWidth="1"/>
    <col min="12056" max="12057" width="0" style="3" hidden="1" customWidth="1"/>
    <col min="12058" max="12288" width="8.85546875" style="3"/>
    <col min="12289" max="12289" width="4.140625" style="3" bestFit="1" customWidth="1"/>
    <col min="12290" max="12290" width="13.85546875" style="3" bestFit="1" customWidth="1"/>
    <col min="12291" max="12292" width="7.85546875" style="3" customWidth="1"/>
    <col min="12293" max="12297" width="6.7109375" style="3" customWidth="1"/>
    <col min="12298" max="12299" width="8" style="3" customWidth="1"/>
    <col min="12300" max="12304" width="6.7109375" style="3" customWidth="1"/>
    <col min="12305" max="12306" width="8" style="3" customWidth="1"/>
    <col min="12307" max="12311" width="6.7109375" style="3" customWidth="1"/>
    <col min="12312" max="12313" width="0" style="3" hidden="1" customWidth="1"/>
    <col min="12314" max="12544" width="8.85546875" style="3"/>
    <col min="12545" max="12545" width="4.140625" style="3" bestFit="1" customWidth="1"/>
    <col min="12546" max="12546" width="13.85546875" style="3" bestFit="1" customWidth="1"/>
    <col min="12547" max="12548" width="7.85546875" style="3" customWidth="1"/>
    <col min="12549" max="12553" width="6.7109375" style="3" customWidth="1"/>
    <col min="12554" max="12555" width="8" style="3" customWidth="1"/>
    <col min="12556" max="12560" width="6.7109375" style="3" customWidth="1"/>
    <col min="12561" max="12562" width="8" style="3" customWidth="1"/>
    <col min="12563" max="12567" width="6.7109375" style="3" customWidth="1"/>
    <col min="12568" max="12569" width="0" style="3" hidden="1" customWidth="1"/>
    <col min="12570" max="12800" width="8.85546875" style="3"/>
    <col min="12801" max="12801" width="4.140625" style="3" bestFit="1" customWidth="1"/>
    <col min="12802" max="12802" width="13.85546875" style="3" bestFit="1" customWidth="1"/>
    <col min="12803" max="12804" width="7.85546875" style="3" customWidth="1"/>
    <col min="12805" max="12809" width="6.7109375" style="3" customWidth="1"/>
    <col min="12810" max="12811" width="8" style="3" customWidth="1"/>
    <col min="12812" max="12816" width="6.7109375" style="3" customWidth="1"/>
    <col min="12817" max="12818" width="8" style="3" customWidth="1"/>
    <col min="12819" max="12823" width="6.7109375" style="3" customWidth="1"/>
    <col min="12824" max="12825" width="0" style="3" hidden="1" customWidth="1"/>
    <col min="12826" max="13056" width="8.85546875" style="3"/>
    <col min="13057" max="13057" width="4.140625" style="3" bestFit="1" customWidth="1"/>
    <col min="13058" max="13058" width="13.85546875" style="3" bestFit="1" customWidth="1"/>
    <col min="13059" max="13060" width="7.85546875" style="3" customWidth="1"/>
    <col min="13061" max="13065" width="6.7109375" style="3" customWidth="1"/>
    <col min="13066" max="13067" width="8" style="3" customWidth="1"/>
    <col min="13068" max="13072" width="6.7109375" style="3" customWidth="1"/>
    <col min="13073" max="13074" width="8" style="3" customWidth="1"/>
    <col min="13075" max="13079" width="6.7109375" style="3" customWidth="1"/>
    <col min="13080" max="13081" width="0" style="3" hidden="1" customWidth="1"/>
    <col min="13082" max="13312" width="8.85546875" style="3"/>
    <col min="13313" max="13313" width="4.140625" style="3" bestFit="1" customWidth="1"/>
    <col min="13314" max="13314" width="13.85546875" style="3" bestFit="1" customWidth="1"/>
    <col min="13315" max="13316" width="7.85546875" style="3" customWidth="1"/>
    <col min="13317" max="13321" width="6.7109375" style="3" customWidth="1"/>
    <col min="13322" max="13323" width="8" style="3" customWidth="1"/>
    <col min="13324" max="13328" width="6.7109375" style="3" customWidth="1"/>
    <col min="13329" max="13330" width="8" style="3" customWidth="1"/>
    <col min="13331" max="13335" width="6.7109375" style="3" customWidth="1"/>
    <col min="13336" max="13337" width="0" style="3" hidden="1" customWidth="1"/>
    <col min="13338" max="13568" width="8.85546875" style="3"/>
    <col min="13569" max="13569" width="4.140625" style="3" bestFit="1" customWidth="1"/>
    <col min="13570" max="13570" width="13.85546875" style="3" bestFit="1" customWidth="1"/>
    <col min="13571" max="13572" width="7.85546875" style="3" customWidth="1"/>
    <col min="13573" max="13577" width="6.7109375" style="3" customWidth="1"/>
    <col min="13578" max="13579" width="8" style="3" customWidth="1"/>
    <col min="13580" max="13584" width="6.7109375" style="3" customWidth="1"/>
    <col min="13585" max="13586" width="8" style="3" customWidth="1"/>
    <col min="13587" max="13591" width="6.7109375" style="3" customWidth="1"/>
    <col min="13592" max="13593" width="0" style="3" hidden="1" customWidth="1"/>
    <col min="13594" max="13824" width="8.85546875" style="3"/>
    <col min="13825" max="13825" width="4.140625" style="3" bestFit="1" customWidth="1"/>
    <col min="13826" max="13826" width="13.85546875" style="3" bestFit="1" customWidth="1"/>
    <col min="13827" max="13828" width="7.85546875" style="3" customWidth="1"/>
    <col min="13829" max="13833" width="6.7109375" style="3" customWidth="1"/>
    <col min="13834" max="13835" width="8" style="3" customWidth="1"/>
    <col min="13836" max="13840" width="6.7109375" style="3" customWidth="1"/>
    <col min="13841" max="13842" width="8" style="3" customWidth="1"/>
    <col min="13843" max="13847" width="6.7109375" style="3" customWidth="1"/>
    <col min="13848" max="13849" width="0" style="3" hidden="1" customWidth="1"/>
    <col min="13850" max="14080" width="8.85546875" style="3"/>
    <col min="14081" max="14081" width="4.140625" style="3" bestFit="1" customWidth="1"/>
    <col min="14082" max="14082" width="13.85546875" style="3" bestFit="1" customWidth="1"/>
    <col min="14083" max="14084" width="7.85546875" style="3" customWidth="1"/>
    <col min="14085" max="14089" width="6.7109375" style="3" customWidth="1"/>
    <col min="14090" max="14091" width="8" style="3" customWidth="1"/>
    <col min="14092" max="14096" width="6.7109375" style="3" customWidth="1"/>
    <col min="14097" max="14098" width="8" style="3" customWidth="1"/>
    <col min="14099" max="14103" width="6.7109375" style="3" customWidth="1"/>
    <col min="14104" max="14105" width="0" style="3" hidden="1" customWidth="1"/>
    <col min="14106" max="14336" width="8.85546875" style="3"/>
    <col min="14337" max="14337" width="4.140625" style="3" bestFit="1" customWidth="1"/>
    <col min="14338" max="14338" width="13.85546875" style="3" bestFit="1" customWidth="1"/>
    <col min="14339" max="14340" width="7.85546875" style="3" customWidth="1"/>
    <col min="14341" max="14345" width="6.7109375" style="3" customWidth="1"/>
    <col min="14346" max="14347" width="8" style="3" customWidth="1"/>
    <col min="14348" max="14352" width="6.7109375" style="3" customWidth="1"/>
    <col min="14353" max="14354" width="8" style="3" customWidth="1"/>
    <col min="14355" max="14359" width="6.7109375" style="3" customWidth="1"/>
    <col min="14360" max="14361" width="0" style="3" hidden="1" customWidth="1"/>
    <col min="14362" max="14592" width="8.85546875" style="3"/>
    <col min="14593" max="14593" width="4.140625" style="3" bestFit="1" customWidth="1"/>
    <col min="14594" max="14594" width="13.85546875" style="3" bestFit="1" customWidth="1"/>
    <col min="14595" max="14596" width="7.85546875" style="3" customWidth="1"/>
    <col min="14597" max="14601" width="6.7109375" style="3" customWidth="1"/>
    <col min="14602" max="14603" width="8" style="3" customWidth="1"/>
    <col min="14604" max="14608" width="6.7109375" style="3" customWidth="1"/>
    <col min="14609" max="14610" width="8" style="3" customWidth="1"/>
    <col min="14611" max="14615" width="6.7109375" style="3" customWidth="1"/>
    <col min="14616" max="14617" width="0" style="3" hidden="1" customWidth="1"/>
    <col min="14618" max="14848" width="8.85546875" style="3"/>
    <col min="14849" max="14849" width="4.140625" style="3" bestFit="1" customWidth="1"/>
    <col min="14850" max="14850" width="13.85546875" style="3" bestFit="1" customWidth="1"/>
    <col min="14851" max="14852" width="7.85546875" style="3" customWidth="1"/>
    <col min="14853" max="14857" width="6.7109375" style="3" customWidth="1"/>
    <col min="14858" max="14859" width="8" style="3" customWidth="1"/>
    <col min="14860" max="14864" width="6.7109375" style="3" customWidth="1"/>
    <col min="14865" max="14866" width="8" style="3" customWidth="1"/>
    <col min="14867" max="14871" width="6.7109375" style="3" customWidth="1"/>
    <col min="14872" max="14873" width="0" style="3" hidden="1" customWidth="1"/>
    <col min="14874" max="15104" width="8.85546875" style="3"/>
    <col min="15105" max="15105" width="4.140625" style="3" bestFit="1" customWidth="1"/>
    <col min="15106" max="15106" width="13.85546875" style="3" bestFit="1" customWidth="1"/>
    <col min="15107" max="15108" width="7.85546875" style="3" customWidth="1"/>
    <col min="15109" max="15113" width="6.7109375" style="3" customWidth="1"/>
    <col min="15114" max="15115" width="8" style="3" customWidth="1"/>
    <col min="15116" max="15120" width="6.7109375" style="3" customWidth="1"/>
    <col min="15121" max="15122" width="8" style="3" customWidth="1"/>
    <col min="15123" max="15127" width="6.7109375" style="3" customWidth="1"/>
    <col min="15128" max="15129" width="0" style="3" hidden="1" customWidth="1"/>
    <col min="15130" max="15360" width="8.85546875" style="3"/>
    <col min="15361" max="15361" width="4.140625" style="3" bestFit="1" customWidth="1"/>
    <col min="15362" max="15362" width="13.85546875" style="3" bestFit="1" customWidth="1"/>
    <col min="15363" max="15364" width="7.85546875" style="3" customWidth="1"/>
    <col min="15365" max="15369" width="6.7109375" style="3" customWidth="1"/>
    <col min="15370" max="15371" width="8" style="3" customWidth="1"/>
    <col min="15372" max="15376" width="6.7109375" style="3" customWidth="1"/>
    <col min="15377" max="15378" width="8" style="3" customWidth="1"/>
    <col min="15379" max="15383" width="6.7109375" style="3" customWidth="1"/>
    <col min="15384" max="15385" width="0" style="3" hidden="1" customWidth="1"/>
    <col min="15386" max="15616" width="8.85546875" style="3"/>
    <col min="15617" max="15617" width="4.140625" style="3" bestFit="1" customWidth="1"/>
    <col min="15618" max="15618" width="13.85546875" style="3" bestFit="1" customWidth="1"/>
    <col min="15619" max="15620" width="7.85546875" style="3" customWidth="1"/>
    <col min="15621" max="15625" width="6.7109375" style="3" customWidth="1"/>
    <col min="15626" max="15627" width="8" style="3" customWidth="1"/>
    <col min="15628" max="15632" width="6.7109375" style="3" customWidth="1"/>
    <col min="15633" max="15634" width="8" style="3" customWidth="1"/>
    <col min="15635" max="15639" width="6.7109375" style="3" customWidth="1"/>
    <col min="15640" max="15641" width="0" style="3" hidden="1" customWidth="1"/>
    <col min="15642" max="15872" width="8.85546875" style="3"/>
    <col min="15873" max="15873" width="4.140625" style="3" bestFit="1" customWidth="1"/>
    <col min="15874" max="15874" width="13.85546875" style="3" bestFit="1" customWidth="1"/>
    <col min="15875" max="15876" width="7.85546875" style="3" customWidth="1"/>
    <col min="15877" max="15881" width="6.7109375" style="3" customWidth="1"/>
    <col min="15882" max="15883" width="8" style="3" customWidth="1"/>
    <col min="15884" max="15888" width="6.7109375" style="3" customWidth="1"/>
    <col min="15889" max="15890" width="8" style="3" customWidth="1"/>
    <col min="15891" max="15895" width="6.7109375" style="3" customWidth="1"/>
    <col min="15896" max="15897" width="0" style="3" hidden="1" customWidth="1"/>
    <col min="15898" max="16128" width="8.85546875" style="3"/>
    <col min="16129" max="16129" width="4.140625" style="3" bestFit="1" customWidth="1"/>
    <col min="16130" max="16130" width="13.85546875" style="3" bestFit="1" customWidth="1"/>
    <col min="16131" max="16132" width="7.85546875" style="3" customWidth="1"/>
    <col min="16133" max="16137" width="6.7109375" style="3" customWidth="1"/>
    <col min="16138" max="16139" width="8" style="3" customWidth="1"/>
    <col min="16140" max="16144" width="6.7109375" style="3" customWidth="1"/>
    <col min="16145" max="16146" width="8" style="3" customWidth="1"/>
    <col min="16147" max="16151" width="6.7109375" style="3" customWidth="1"/>
    <col min="16152" max="16153" width="0" style="3" hidden="1" customWidth="1"/>
    <col min="16154" max="16384" width="8.85546875" style="3"/>
  </cols>
  <sheetData>
    <row r="1" spans="1:24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290" t="s">
        <v>115</v>
      </c>
      <c r="V1" s="290"/>
      <c r="W1" s="290"/>
    </row>
    <row r="2" spans="1:24" s="56" customFormat="1" ht="18" x14ac:dyDescent="0.25">
      <c r="A2" s="291" t="s">
        <v>221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</row>
    <row r="4" spans="1:24" ht="15.75" x14ac:dyDescent="0.25">
      <c r="A4" s="292" t="s">
        <v>227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</row>
    <row r="5" spans="1:24" ht="15.75" thickBot="1" x14ac:dyDescent="0.3"/>
    <row r="6" spans="1:24" s="50" customFormat="1" ht="12" thickBot="1" x14ac:dyDescent="0.3">
      <c r="A6" s="293" t="s">
        <v>2</v>
      </c>
      <c r="B6" s="293" t="s">
        <v>57</v>
      </c>
      <c r="C6" s="294" t="s">
        <v>58</v>
      </c>
      <c r="D6" s="294"/>
      <c r="E6" s="294"/>
      <c r="F6" s="294"/>
      <c r="G6" s="294"/>
      <c r="H6" s="294"/>
      <c r="I6" s="294"/>
      <c r="J6" s="294" t="s">
        <v>59</v>
      </c>
      <c r="K6" s="294"/>
      <c r="L6" s="294"/>
      <c r="M6" s="294"/>
      <c r="N6" s="294"/>
      <c r="O6" s="294"/>
      <c r="P6" s="294"/>
      <c r="Q6" s="294" t="s">
        <v>60</v>
      </c>
      <c r="R6" s="294"/>
      <c r="S6" s="294"/>
      <c r="T6" s="294"/>
      <c r="U6" s="294"/>
      <c r="V6" s="294"/>
      <c r="W6" s="294"/>
      <c r="X6" s="294"/>
    </row>
    <row r="7" spans="1:24" s="50" customFormat="1" ht="12" thickBot="1" x14ac:dyDescent="0.3">
      <c r="A7" s="294"/>
      <c r="B7" s="293"/>
      <c r="C7" s="294" t="s">
        <v>61</v>
      </c>
      <c r="D7" s="294"/>
      <c r="E7" s="294"/>
      <c r="F7" s="294"/>
      <c r="G7" s="294"/>
      <c r="H7" s="294"/>
      <c r="I7" s="294"/>
      <c r="J7" s="294" t="s">
        <v>47</v>
      </c>
      <c r="K7" s="294"/>
      <c r="L7" s="294"/>
      <c r="M7" s="294"/>
      <c r="N7" s="294"/>
      <c r="O7" s="294"/>
      <c r="P7" s="294"/>
      <c r="Q7" s="294" t="s">
        <v>46</v>
      </c>
      <c r="R7" s="294"/>
      <c r="S7" s="294"/>
      <c r="T7" s="294"/>
      <c r="U7" s="294"/>
      <c r="V7" s="294"/>
      <c r="W7" s="294"/>
      <c r="X7" s="294"/>
    </row>
    <row r="8" spans="1:24" s="50" customFormat="1" ht="34.5" thickBot="1" x14ac:dyDescent="0.3">
      <c r="A8" s="294"/>
      <c r="B8" s="293"/>
      <c r="C8" s="46" t="s">
        <v>48</v>
      </c>
      <c r="D8" s="46" t="s">
        <v>49</v>
      </c>
      <c r="E8" s="46" t="s">
        <v>111</v>
      </c>
      <c r="F8" s="45" t="s">
        <v>106</v>
      </c>
      <c r="G8" s="45" t="s">
        <v>107</v>
      </c>
      <c r="H8" s="45" t="s">
        <v>108</v>
      </c>
      <c r="I8" s="46" t="s">
        <v>112</v>
      </c>
      <c r="J8" s="46" t="s">
        <v>48</v>
      </c>
      <c r="K8" s="46" t="s">
        <v>49</v>
      </c>
      <c r="L8" s="46" t="s">
        <v>111</v>
      </c>
      <c r="M8" s="45" t="s">
        <v>106</v>
      </c>
      <c r="N8" s="45" t="s">
        <v>107</v>
      </c>
      <c r="O8" s="45" t="s">
        <v>108</v>
      </c>
      <c r="P8" s="46" t="s">
        <v>112</v>
      </c>
      <c r="Q8" s="46" t="s">
        <v>48</v>
      </c>
      <c r="R8" s="46" t="s">
        <v>49</v>
      </c>
      <c r="S8" s="46" t="s">
        <v>111</v>
      </c>
      <c r="T8" s="45" t="s">
        <v>106</v>
      </c>
      <c r="U8" s="45" t="s">
        <v>107</v>
      </c>
      <c r="V8" s="45" t="s">
        <v>108</v>
      </c>
      <c r="W8" s="46" t="s">
        <v>112</v>
      </c>
      <c r="X8" s="45"/>
    </row>
    <row r="9" spans="1:24" s="50" customFormat="1" ht="12" thickBot="1" x14ac:dyDescent="0.3">
      <c r="A9" s="174">
        <v>1</v>
      </c>
      <c r="B9" s="174">
        <v>2</v>
      </c>
      <c r="C9" s="174">
        <v>3</v>
      </c>
      <c r="D9" s="174">
        <v>4</v>
      </c>
      <c r="E9" s="174">
        <v>5</v>
      </c>
      <c r="F9" s="174">
        <v>6</v>
      </c>
      <c r="G9" s="174">
        <v>7</v>
      </c>
      <c r="H9" s="174">
        <v>8</v>
      </c>
      <c r="I9" s="174">
        <v>9</v>
      </c>
      <c r="J9" s="174">
        <v>10</v>
      </c>
      <c r="K9" s="174">
        <v>11</v>
      </c>
      <c r="L9" s="174">
        <v>12</v>
      </c>
      <c r="M9" s="174">
        <v>13</v>
      </c>
      <c r="N9" s="174">
        <v>14</v>
      </c>
      <c r="O9" s="174">
        <v>15</v>
      </c>
      <c r="P9" s="174">
        <v>16</v>
      </c>
      <c r="Q9" s="174">
        <v>17</v>
      </c>
      <c r="R9" s="174">
        <v>18</v>
      </c>
      <c r="S9" s="174">
        <v>19</v>
      </c>
      <c r="T9" s="174">
        <v>20</v>
      </c>
      <c r="U9" s="174">
        <v>21</v>
      </c>
      <c r="V9" s="174">
        <v>22</v>
      </c>
      <c r="W9" s="174">
        <v>23</v>
      </c>
      <c r="X9" s="89"/>
    </row>
    <row r="10" spans="1:24" ht="30.75" thickBot="1" x14ac:dyDescent="0.3">
      <c r="A10" s="77">
        <f>'[1]Format A-IV'!A10</f>
        <v>1</v>
      </c>
      <c r="B10" s="85" t="str">
        <f>'Result Analysis XII'!L1</f>
        <v>Kareera, Mohindergarh</v>
      </c>
      <c r="C10" s="64">
        <f>COUNTIF('Result Analysis XII'!$G$6:$G$84,"OBC")</f>
        <v>0</v>
      </c>
      <c r="D10" s="64">
        <f>COUNTIFS('Result Analysis XII'!$G$6:$G$84,"OBC",'Result Analysis XII'!$Y$6:$Y$84,"&gt;=33")</f>
        <v>0</v>
      </c>
      <c r="E10" s="64">
        <f>COUNTIFS('Result Analysis XII'!$G$6:$G$84,"OBC",'Result Analysis XII'!$Y$6:$Y$84,"&lt;33")</f>
        <v>0</v>
      </c>
      <c r="F10" s="64">
        <f>COUNTIFS('Result Analysis XII'!$G$6:$G$84,"OBC",'Result Analysis XII'!$Y$6:$Y$84,"&gt;=33")-G10-H10-I10</f>
        <v>0</v>
      </c>
      <c r="G10" s="64">
        <f>COUNTIFS('Result Analysis XII'!$G$6:$G$84,"OBC",'Result Analysis XII'!$Y$6:$Y$84,"&gt;=60")-H10-I10</f>
        <v>0</v>
      </c>
      <c r="H10" s="64">
        <f>COUNTIFS('Result Analysis XII'!$G$6:$G$84,"OBC",'Result Analysis XII'!$Y$6:$Y$84,"&gt;=75")-I10</f>
        <v>0</v>
      </c>
      <c r="I10" s="64">
        <f>COUNTIFS('Result Analysis XII'!$G$6:$G$84,"OBC",'Result Analysis XII'!$Y$6:$Y$84,"&gt;=90")</f>
        <v>0</v>
      </c>
      <c r="J10" s="64" t="e">
        <f>COUNTIF('Result Analysis XII'!#REF!,"minority")</f>
        <v>#REF!</v>
      </c>
      <c r="K10" s="64" t="e">
        <f>COUNTIFS('Result Analysis XII'!#REF!,"minority",'Result Analysis XII'!$Y$6:$Y$84,"&gt;=33")</f>
        <v>#REF!</v>
      </c>
      <c r="L10" s="64" t="e">
        <f>COUNTIFS('Result Analysis XII'!#REF!,"minority",'Result Analysis XII'!$Y$6:$Y$84,"&lt;33")</f>
        <v>#REF!</v>
      </c>
      <c r="M10" s="64" t="e">
        <f>COUNTIFS('Result Analysis XII'!#REF!,"minority",'Result Analysis XII'!$Y$6:$Y$84,"&gt;=33")-N10-O10-P10</f>
        <v>#REF!</v>
      </c>
      <c r="N10" s="64" t="e">
        <f>COUNTIFS('Result Analysis XII'!#REF!,"minority",'Result Analysis XII'!$Y$6:$Y$84,"&gt;=60")-O10-P10</f>
        <v>#REF!</v>
      </c>
      <c r="O10" s="64" t="e">
        <f>COUNTIFS('Result Analysis XII'!#REF!,"minority",'Result Analysis XII'!$Y$6:$Y$84,"&gt;=75")-P10</f>
        <v>#REF!</v>
      </c>
      <c r="P10" s="64" t="e">
        <f>COUNTIFS('Result Analysis XII'!#REF!,"minority",'Result Analysis XII'!$Y$6:$Y$84,"&gt;=90")</f>
        <v>#REF!</v>
      </c>
      <c r="Q10" s="64">
        <f>COUNTIF('Result Analysis XII'!D6:D84,"ph")</f>
        <v>0</v>
      </c>
      <c r="R10" s="64">
        <f>COUNTIFS('Result Analysis XII'!$D$6:$D$84,"PH",'Result Analysis XII'!$Y$6:$Y$84,"&gt;=33")</f>
        <v>0</v>
      </c>
      <c r="S10" s="64">
        <f>COUNTIFS('Result Analysis XII'!$D$6:$D$84,"PH",'Result Analysis XII'!$Y$6:$Y$84,"&lt;33")</f>
        <v>0</v>
      </c>
      <c r="T10" s="64">
        <f>COUNTIFS('Result Analysis XII'!$D$6:$D$84,"PH",'Result Analysis XII'!$Y$6:$Y$84,"&gt;=33")-U10-V10-W10</f>
        <v>0</v>
      </c>
      <c r="U10" s="64">
        <f>COUNTIFS('Result Analysis XII'!$D$6:$D$84,"PH",'Result Analysis XII'!$Y$6:$Y$84,"&gt;=60")-V10-W10</f>
        <v>0</v>
      </c>
      <c r="V10" s="64">
        <f>COUNTIFS('Result Analysis XII'!$D$6:$D$84,"PH",'Result Analysis XII'!$Y$6:$Y$84,"&gt;=75")-W10</f>
        <v>0</v>
      </c>
      <c r="W10" s="64">
        <f>COUNTIFS('Result Analysis XII'!$D$6:$D$84,"PH",'Result Analysis XII'!$Y$6:$Y$84,"&gt;=90")</f>
        <v>0</v>
      </c>
      <c r="X10" s="90"/>
    </row>
  </sheetData>
  <sheetProtection algorithmName="SHA-512" hashValue="FU+9pGqt9onUDoqubLgHd5Sy4t6f4p27vE9K4gq9Fjv275eKYBonFnmRc/h3jBuHQNuF99VjTCd4aNEe7BN3UA==" saltValue="sluY9yOtvhfaSk32aH/CdA==" spinCount="100000" sheet="1" objects="1" scenarios="1"/>
  <mergeCells count="11">
    <mergeCell ref="Q7:X7"/>
    <mergeCell ref="U1:W1"/>
    <mergeCell ref="A2:W2"/>
    <mergeCell ref="A4:W4"/>
    <mergeCell ref="A6:A8"/>
    <mergeCell ref="B6:B8"/>
    <mergeCell ref="C6:I6"/>
    <mergeCell ref="J6:P6"/>
    <mergeCell ref="Q6:X6"/>
    <mergeCell ref="C7:I7"/>
    <mergeCell ref="J7:P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AE10"/>
  <sheetViews>
    <sheetView view="pageBreakPreview" zoomScaleSheetLayoutView="100" workbookViewId="0">
      <selection activeCell="G1" sqref="A1:X10"/>
    </sheetView>
  </sheetViews>
  <sheetFormatPr defaultColWidth="8.85546875" defaultRowHeight="15" x14ac:dyDescent="0.25"/>
  <cols>
    <col min="1" max="1" width="3.42578125" style="3" bestFit="1" customWidth="1"/>
    <col min="2" max="2" width="6.7109375" style="3" customWidth="1"/>
    <col min="3" max="3" width="7.42578125" style="3" customWidth="1"/>
    <col min="4" max="4" width="6.42578125" style="3" customWidth="1"/>
    <col min="5" max="5" width="7.42578125" style="3" customWidth="1"/>
    <col min="6" max="8" width="8" style="3" customWidth="1"/>
    <col min="9" max="13" width="5.7109375" style="3" customWidth="1"/>
    <col min="14" max="14" width="9.140625" style="3" customWidth="1"/>
    <col min="15" max="15" width="9.42578125" style="3" customWidth="1"/>
    <col min="16" max="23" width="8.5703125" style="3" customWidth="1"/>
    <col min="24" max="31" width="9.140625" style="3" hidden="1" customWidth="1"/>
    <col min="32" max="16384" width="8.85546875" style="3"/>
  </cols>
  <sheetData>
    <row r="1" spans="1:31" x14ac:dyDescent="0.25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398" t="s">
        <v>12</v>
      </c>
      <c r="V1" s="398"/>
      <c r="W1" s="398"/>
      <c r="X1" s="54"/>
      <c r="Y1" s="54"/>
      <c r="Z1" s="54"/>
      <c r="AA1" s="54"/>
      <c r="AB1" s="54"/>
      <c r="AC1" s="54"/>
      <c r="AD1" s="54"/>
      <c r="AE1" s="54"/>
    </row>
    <row r="2" spans="1:31" s="56" customFormat="1" ht="23.25" x14ac:dyDescent="0.25">
      <c r="A2" s="399" t="s">
        <v>221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55"/>
      <c r="Y2" s="55"/>
      <c r="Z2" s="55"/>
      <c r="AA2" s="55"/>
      <c r="AB2" s="55"/>
      <c r="AC2" s="55"/>
      <c r="AD2" s="55"/>
      <c r="AE2" s="55"/>
    </row>
    <row r="3" spans="1:31" ht="3.6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s="58" customFormat="1" ht="15.75" x14ac:dyDescent="0.25">
      <c r="A4" s="400" t="s">
        <v>230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57"/>
      <c r="Y4" s="57"/>
      <c r="Z4" s="57"/>
      <c r="AA4" s="57"/>
      <c r="AB4" s="57"/>
      <c r="AC4" s="57"/>
      <c r="AD4" s="57"/>
      <c r="AE4" s="57"/>
    </row>
    <row r="5" spans="1:31" ht="3.6" customHeight="1" thickBot="1" x14ac:dyDescent="0.3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s="51" customFormat="1" ht="25.5" customHeight="1" thickBot="1" x14ac:dyDescent="0.3">
      <c r="A6" s="293" t="s">
        <v>2</v>
      </c>
      <c r="B6" s="293" t="s">
        <v>42</v>
      </c>
      <c r="C6" s="293" t="s">
        <v>43</v>
      </c>
      <c r="D6" s="293" t="s">
        <v>44</v>
      </c>
      <c r="E6" s="293" t="s">
        <v>45</v>
      </c>
      <c r="F6" s="293" t="s">
        <v>231</v>
      </c>
      <c r="G6" s="293"/>
      <c r="H6" s="293"/>
      <c r="I6" s="293"/>
      <c r="J6" s="293"/>
      <c r="K6" s="293"/>
      <c r="L6" s="293"/>
      <c r="M6" s="293"/>
      <c r="N6" s="293"/>
      <c r="O6" s="293" t="s">
        <v>232</v>
      </c>
      <c r="P6" s="293"/>
      <c r="Q6" s="293"/>
      <c r="R6" s="293"/>
      <c r="S6" s="293"/>
      <c r="T6" s="293"/>
      <c r="U6" s="293"/>
      <c r="V6" s="293"/>
      <c r="W6" s="293"/>
      <c r="X6" s="401"/>
      <c r="Y6" s="401"/>
      <c r="Z6" s="401"/>
      <c r="AA6" s="401"/>
      <c r="AB6" s="401"/>
      <c r="AC6" s="401"/>
      <c r="AD6" s="401"/>
    </row>
    <row r="7" spans="1:31" s="51" customFormat="1" ht="12" thickBot="1" x14ac:dyDescent="0.3">
      <c r="A7" s="293"/>
      <c r="B7" s="293"/>
      <c r="C7" s="293"/>
      <c r="D7" s="293"/>
      <c r="E7" s="293"/>
      <c r="F7" s="294" t="s">
        <v>46</v>
      </c>
      <c r="G7" s="294"/>
      <c r="H7" s="294"/>
      <c r="I7" s="294"/>
      <c r="J7" s="294"/>
      <c r="K7" s="294"/>
      <c r="L7" s="294"/>
      <c r="M7" s="294"/>
      <c r="N7" s="294"/>
      <c r="O7" s="294" t="s">
        <v>47</v>
      </c>
      <c r="P7" s="294"/>
      <c r="Q7" s="294"/>
      <c r="R7" s="294"/>
      <c r="S7" s="294"/>
      <c r="T7" s="294"/>
      <c r="U7" s="294"/>
      <c r="V7" s="294"/>
      <c r="W7" s="294"/>
      <c r="Z7" s="401"/>
      <c r="AA7" s="401"/>
      <c r="AB7" s="401"/>
      <c r="AC7" s="401"/>
    </row>
    <row r="8" spans="1:31" s="51" customFormat="1" ht="34.5" thickBot="1" x14ac:dyDescent="0.3">
      <c r="A8" s="296"/>
      <c r="B8" s="296"/>
      <c r="C8" s="296"/>
      <c r="D8" s="296"/>
      <c r="E8" s="296"/>
      <c r="F8" s="52" t="s">
        <v>48</v>
      </c>
      <c r="G8" s="52" t="s">
        <v>49</v>
      </c>
      <c r="H8" s="52" t="s">
        <v>50</v>
      </c>
      <c r="I8" s="53" t="s">
        <v>51</v>
      </c>
      <c r="J8" s="53" t="s">
        <v>52</v>
      </c>
      <c r="K8" s="53" t="s">
        <v>53</v>
      </c>
      <c r="L8" s="53" t="s">
        <v>54</v>
      </c>
      <c r="M8" s="52" t="s">
        <v>55</v>
      </c>
      <c r="N8" s="52">
        <v>10</v>
      </c>
      <c r="O8" s="52" t="s">
        <v>48</v>
      </c>
      <c r="P8" s="52" t="s">
        <v>49</v>
      </c>
      <c r="Q8" s="52" t="s">
        <v>50</v>
      </c>
      <c r="R8" s="53" t="s">
        <v>51</v>
      </c>
      <c r="S8" s="53" t="s">
        <v>52</v>
      </c>
      <c r="T8" s="53" t="s">
        <v>53</v>
      </c>
      <c r="U8" s="53" t="s">
        <v>54</v>
      </c>
      <c r="V8" s="52" t="s">
        <v>55</v>
      </c>
      <c r="W8" s="52">
        <v>10</v>
      </c>
      <c r="Z8" s="49"/>
      <c r="AD8" s="49"/>
    </row>
    <row r="9" spans="1:31" s="51" customFormat="1" ht="12" thickBot="1" x14ac:dyDescent="0.3">
      <c r="A9" s="46">
        <v>1</v>
      </c>
      <c r="B9" s="46">
        <v>2</v>
      </c>
      <c r="C9" s="46">
        <v>3</v>
      </c>
      <c r="D9" s="46">
        <v>4</v>
      </c>
      <c r="E9" s="46">
        <v>5</v>
      </c>
      <c r="F9" s="46">
        <v>6</v>
      </c>
      <c r="G9" s="46">
        <v>7</v>
      </c>
      <c r="H9" s="46">
        <v>8</v>
      </c>
      <c r="I9" s="45">
        <v>9</v>
      </c>
      <c r="J9" s="45">
        <v>10</v>
      </c>
      <c r="K9" s="45">
        <v>11</v>
      </c>
      <c r="L9" s="45">
        <v>12</v>
      </c>
      <c r="M9" s="46">
        <v>13</v>
      </c>
      <c r="N9" s="46">
        <v>14</v>
      </c>
      <c r="O9" s="46">
        <v>15</v>
      </c>
      <c r="P9" s="46">
        <v>16</v>
      </c>
      <c r="Q9" s="46">
        <v>17</v>
      </c>
      <c r="R9" s="45">
        <v>18</v>
      </c>
      <c r="S9" s="45">
        <v>19</v>
      </c>
      <c r="T9" s="45">
        <v>20</v>
      </c>
      <c r="U9" s="45">
        <v>21</v>
      </c>
      <c r="V9" s="46">
        <v>22</v>
      </c>
      <c r="W9" s="46">
        <v>23</v>
      </c>
      <c r="Z9" s="49"/>
      <c r="AD9" s="49"/>
    </row>
    <row r="10" spans="1:31" ht="77.25" customHeight="1" thickBot="1" x14ac:dyDescent="0.3">
      <c r="A10" s="4">
        <v>1</v>
      </c>
      <c r="B10" s="67" t="s">
        <v>80</v>
      </c>
      <c r="C10" s="68" t="s">
        <v>81</v>
      </c>
      <c r="D10" s="68" t="s">
        <v>82</v>
      </c>
      <c r="E10" s="68" t="s">
        <v>83</v>
      </c>
      <c r="F10" s="64">
        <f>'Result Analysis X'!C88</f>
        <v>0</v>
      </c>
      <c r="G10" s="64">
        <f>COUNTIFS('Result Analysis X'!$C$6:$C$85,"6",'Result Analysis X'!$U$6:$U$85,"pass")</f>
        <v>0</v>
      </c>
      <c r="H10" s="64">
        <f>COUNTIFS('Result Analysis X'!$C$6:$C$85,"6",'Result Analysis X'!$S$6:$S$85,"&lt;4")</f>
        <v>0</v>
      </c>
      <c r="I10" s="64">
        <f>COUNTIFS('Result Analysis X'!$C$6:$C$85,"6",'Result Analysis X'!$S$6:$S$85,"&gt;=4")-J10-K10-L10-M10-N10</f>
        <v>0</v>
      </c>
      <c r="J10" s="64">
        <f>COUNTIFS('Result Analysis X'!$C$6:$C$85,"6",'Result Analysis X'!$S$6:$S$85,"&gt;=5")-K10-L10-M10-N10</f>
        <v>0</v>
      </c>
      <c r="K10" s="64">
        <f>COUNTIFS('Result Analysis X'!$C$6:$C$85,"6",'Result Analysis X'!$S$6:$S$85,"&gt;=6")-L10-M10-N10</f>
        <v>0</v>
      </c>
      <c r="L10" s="64">
        <f>COUNTIFS('Result Analysis X'!$C$6:$C$85,"6",'Result Analysis X'!$S$6:$S$85,"&gt;=7")-M10-N10</f>
        <v>0</v>
      </c>
      <c r="M10" s="64">
        <f>COUNTIFS('Result Analysis X'!$C$6:$C$85,"6",'Result Analysis X'!$S$6:$S$85,"&gt;=9")</f>
        <v>0</v>
      </c>
      <c r="N10" s="64">
        <f>COUNTIFS('Result Analysis X'!C$6:C$85,"6",'Result Analysis X'!S$6:S$85,"10")</f>
        <v>0</v>
      </c>
      <c r="O10" s="64">
        <f>'Result Analysis X'!C96</f>
        <v>0</v>
      </c>
      <c r="P10" s="64">
        <f>COUNTIFS('Result Analysis X'!$C$6:$C$85,"9",'Result Analysis X'!$U$6:$U$85,"pass")</f>
        <v>0</v>
      </c>
      <c r="Q10" s="64">
        <f>COUNTIFS('Result Analysis X'!$C$6:$C$85,"9",'Result Analysis X'!$S$6:$S$85,"&lt;4")</f>
        <v>0</v>
      </c>
      <c r="R10" s="64">
        <f>COUNTIFS('Result Analysis X'!$C$6:$C$85,"9",'Result Analysis X'!$S$6:$S$85,"&gt;=4")-S10-T10-U10-V10-W10</f>
        <v>0</v>
      </c>
      <c r="S10" s="64">
        <f>COUNTIFS('Result Analysis X'!$C$6:$C$85,"9",'Result Analysis X'!$S$6:$S$85,"&gt;=5")-T10-U10-V10-W10</f>
        <v>0</v>
      </c>
      <c r="T10" s="64">
        <f>COUNTIFS('Result Analysis X'!$C$6:$C$85,"9",'Result Analysis X'!$S$6:$S$85,"&gt;=6")-U10-V10-W10</f>
        <v>0</v>
      </c>
      <c r="U10" s="64">
        <f>COUNTIFS('Result Analysis X'!$C$6:$C$85,"9",'Result Analysis X'!$S$6:$S$85,"&gt;=7")-V10-W10</f>
        <v>0</v>
      </c>
      <c r="V10" s="64">
        <f>COUNTIFS('Result Analysis X'!$C$6:$C$85,"9",'Result Analysis X'!$S$6:$S$85,"&gt;=9")</f>
        <v>0</v>
      </c>
      <c r="W10" s="64">
        <f>COUNTIFS('Result Analysis X'!L$6:L$85,"9",'Result Analysis X'!AB$6:AB$85,"10")</f>
        <v>0</v>
      </c>
    </row>
  </sheetData>
  <mergeCells count="14">
    <mergeCell ref="X6:AD6"/>
    <mergeCell ref="F7:N7"/>
    <mergeCell ref="O7:W7"/>
    <mergeCell ref="Z7:AC7"/>
    <mergeCell ref="A6:A8"/>
    <mergeCell ref="B6:B8"/>
    <mergeCell ref="U1:W1"/>
    <mergeCell ref="C6:C8"/>
    <mergeCell ref="D6:D8"/>
    <mergeCell ref="E6:E8"/>
    <mergeCell ref="A4:W4"/>
    <mergeCell ref="A2:W2"/>
    <mergeCell ref="F6:N6"/>
    <mergeCell ref="O6:W6"/>
  </mergeCells>
  <printOptions horizontalCentered="1"/>
  <pageMargins left="0.5" right="0.5" top="0.5" bottom="0.5" header="0.16" footer="0.16"/>
  <pageSetup scale="84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Result Analysis XII</vt:lpstr>
      <vt:lpstr>Format A-I</vt:lpstr>
      <vt:lpstr>Result Analysis X</vt:lpstr>
      <vt:lpstr>Format B-I</vt:lpstr>
      <vt:lpstr>Format A-II</vt:lpstr>
      <vt:lpstr>Format A-III</vt:lpstr>
      <vt:lpstr>Format A-IV</vt:lpstr>
      <vt:lpstr>Format A-V</vt:lpstr>
      <vt:lpstr>Format B-II</vt:lpstr>
      <vt:lpstr>Format B-III</vt:lpstr>
      <vt:lpstr>Format B-IV</vt:lpstr>
      <vt:lpstr>Format C-I</vt:lpstr>
      <vt:lpstr>Format C-II</vt:lpstr>
      <vt:lpstr>Format D</vt:lpstr>
      <vt:lpstr>Format E</vt:lpstr>
      <vt:lpstr>'Result Analysis X'!Print_Area</vt:lpstr>
      <vt:lpstr>'Result Analysis XII'!Print_Area</vt:lpstr>
      <vt:lpstr>'Format B-II'!Print_Titles</vt:lpstr>
      <vt:lpstr>'Format B-III'!Print_Titles</vt:lpstr>
      <vt:lpstr>'Format B-IV'!Print_Titles</vt:lpstr>
      <vt:lpstr>'Result Analysis X'!Print_Titles</vt:lpstr>
      <vt:lpstr>'Result Analysis XII'!Print_Titles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</dc:creator>
  <cp:lastModifiedBy>Sunil Kumar</cp:lastModifiedBy>
  <cp:lastPrinted>2021-07-31T10:04:30Z</cp:lastPrinted>
  <dcterms:created xsi:type="dcterms:W3CDTF">2016-05-16T05:40:25Z</dcterms:created>
  <dcterms:modified xsi:type="dcterms:W3CDTF">2023-03-28T05:09:40Z</dcterms:modified>
</cp:coreProperties>
</file>